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3040" windowHeight="9336" tabRatio="648"/>
  </bookViews>
  <sheets>
    <sheet name="Te publiceren businesscase" sheetId="9" r:id="rId1"/>
    <sheet name="Hulpfile" sheetId="8" state="hidden" r:id="rId2"/>
    <sheet name="Multiplicatoren" sheetId="5" state="hidden" r:id="rId3"/>
    <sheet name="Sheet1" sheetId="3" state="hidden" r:id="rId4"/>
    <sheet name="ICT (input IO)" sheetId="6" state="hidden" r:id="rId5"/>
  </sheets>
  <externalReferences>
    <externalReference r:id="rId6"/>
  </externalReferences>
  <definedNames>
    <definedName name="meterpark">#REF!</definedName>
    <definedName name="stilstaandemeters">'[1]variabelen marijke'!$B$5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7" i="8" l="1"/>
  <c r="A198" i="8"/>
  <c r="A199" i="8"/>
  <c r="A196" i="8"/>
  <c r="K152" i="8" l="1"/>
  <c r="K151" i="8"/>
  <c r="Z152" i="8"/>
  <c r="Y152" i="8"/>
  <c r="R152" i="8"/>
  <c r="Q152" i="8"/>
  <c r="J152" i="8"/>
  <c r="I152" i="8"/>
  <c r="Z151" i="8"/>
  <c r="Y151" i="8"/>
  <c r="X151" i="8"/>
  <c r="X152" i="8" s="1"/>
  <c r="W151" i="8"/>
  <c r="W152" i="8" s="1"/>
  <c r="V151" i="8"/>
  <c r="V152" i="8" s="1"/>
  <c r="U151" i="8"/>
  <c r="U152" i="8" s="1"/>
  <c r="T151" i="8"/>
  <c r="T152" i="8" s="1"/>
  <c r="S151" i="8"/>
  <c r="S152" i="8" s="1"/>
  <c r="R151" i="8"/>
  <c r="Q151" i="8"/>
  <c r="P151" i="8"/>
  <c r="P152" i="8" s="1"/>
  <c r="O151" i="8"/>
  <c r="O152" i="8" s="1"/>
  <c r="N151" i="8"/>
  <c r="N152" i="8" s="1"/>
  <c r="M151" i="8"/>
  <c r="M152" i="8" s="1"/>
  <c r="L151" i="8"/>
  <c r="L152" i="8" s="1"/>
  <c r="J151" i="8"/>
  <c r="I151" i="8"/>
  <c r="C150" i="8"/>
  <c r="I33" i="8"/>
  <c r="I34" i="8" s="1"/>
  <c r="J183" i="8" l="1"/>
  <c r="J184" i="8" s="1"/>
  <c r="Z183" i="8"/>
  <c r="Z184" i="8" s="1"/>
  <c r="Y183" i="8"/>
  <c r="Y184" i="8" s="1"/>
  <c r="X183" i="8"/>
  <c r="X184" i="8" s="1"/>
  <c r="W183" i="8"/>
  <c r="W184" i="8" s="1"/>
  <c r="V183" i="8"/>
  <c r="V184" i="8" s="1"/>
  <c r="U183" i="8"/>
  <c r="U184" i="8" s="1"/>
  <c r="T183" i="8"/>
  <c r="T184" i="8" s="1"/>
  <c r="S183" i="8"/>
  <c r="S184" i="8" s="1"/>
  <c r="R183" i="8"/>
  <c r="R184" i="8" s="1"/>
  <c r="Q183" i="8"/>
  <c r="Q184" i="8" s="1"/>
  <c r="P183" i="8"/>
  <c r="P184" i="8" s="1"/>
  <c r="O183" i="8"/>
  <c r="O184" i="8" s="1"/>
  <c r="N183" i="8"/>
  <c r="N184" i="8" s="1"/>
  <c r="M183" i="8"/>
  <c r="M184" i="8" s="1"/>
  <c r="L183" i="8"/>
  <c r="L184" i="8" s="1"/>
  <c r="K183" i="8"/>
  <c r="K184" i="8" s="1"/>
  <c r="I183" i="8"/>
  <c r="I184" i="8" s="1"/>
  <c r="I177" i="8"/>
  <c r="I178" i="8" s="1"/>
  <c r="Z177" i="8"/>
  <c r="Z178" i="8" s="1"/>
  <c r="Y177" i="8"/>
  <c r="Y178" i="8" s="1"/>
  <c r="X177" i="8"/>
  <c r="X178" i="8" s="1"/>
  <c r="W177" i="8"/>
  <c r="W178" i="8" s="1"/>
  <c r="V177" i="8"/>
  <c r="V178" i="8" s="1"/>
  <c r="U177" i="8"/>
  <c r="U178" i="8" s="1"/>
  <c r="T177" i="8"/>
  <c r="T178" i="8" s="1"/>
  <c r="S177" i="8"/>
  <c r="S178" i="8" s="1"/>
  <c r="R177" i="8"/>
  <c r="R178" i="8" s="1"/>
  <c r="Q177" i="8"/>
  <c r="Q178" i="8" s="1"/>
  <c r="P177" i="8"/>
  <c r="P178" i="8" s="1"/>
  <c r="O177" i="8"/>
  <c r="O178" i="8" s="1"/>
  <c r="N177" i="8"/>
  <c r="N178" i="8" s="1"/>
  <c r="M177" i="8"/>
  <c r="M178" i="8" s="1"/>
  <c r="L177" i="8"/>
  <c r="L178" i="8" s="1"/>
  <c r="K177" i="8"/>
  <c r="K178" i="8" s="1"/>
  <c r="J177" i="8"/>
  <c r="J178" i="8" s="1"/>
  <c r="J172" i="8"/>
  <c r="J171" i="8"/>
  <c r="Z171" i="8"/>
  <c r="Z172" i="8" s="1"/>
  <c r="Y171" i="8"/>
  <c r="Y172" i="8" s="1"/>
  <c r="X171" i="8"/>
  <c r="X172" i="8" s="1"/>
  <c r="W171" i="8"/>
  <c r="W172" i="8" s="1"/>
  <c r="V171" i="8"/>
  <c r="V172" i="8" s="1"/>
  <c r="U171" i="8"/>
  <c r="U172" i="8" s="1"/>
  <c r="T171" i="8"/>
  <c r="T172" i="8" s="1"/>
  <c r="S171" i="8"/>
  <c r="S172" i="8" s="1"/>
  <c r="R171" i="8"/>
  <c r="R172" i="8" s="1"/>
  <c r="Q171" i="8"/>
  <c r="Q172" i="8" s="1"/>
  <c r="P171" i="8"/>
  <c r="P172" i="8" s="1"/>
  <c r="O171" i="8"/>
  <c r="O172" i="8" s="1"/>
  <c r="N171" i="8"/>
  <c r="N172" i="8" s="1"/>
  <c r="M171" i="8"/>
  <c r="M172" i="8" s="1"/>
  <c r="L171" i="8"/>
  <c r="L172" i="8" s="1"/>
  <c r="K171" i="8"/>
  <c r="K172" i="8" s="1"/>
  <c r="I171" i="8"/>
  <c r="I172" i="8" s="1"/>
  <c r="J165" i="8"/>
  <c r="J166" i="8" s="1"/>
  <c r="Z165" i="8"/>
  <c r="Z166" i="8" s="1"/>
  <c r="Y165" i="8"/>
  <c r="Y166" i="8" s="1"/>
  <c r="X165" i="8"/>
  <c r="X166" i="8" s="1"/>
  <c r="W165" i="8"/>
  <c r="W166" i="8" s="1"/>
  <c r="V165" i="8"/>
  <c r="V166" i="8" s="1"/>
  <c r="U165" i="8"/>
  <c r="U166" i="8" s="1"/>
  <c r="T165" i="8"/>
  <c r="T166" i="8" s="1"/>
  <c r="S165" i="8"/>
  <c r="S166" i="8" s="1"/>
  <c r="R165" i="8"/>
  <c r="R166" i="8" s="1"/>
  <c r="Q165" i="8"/>
  <c r="Q166" i="8" s="1"/>
  <c r="P165" i="8"/>
  <c r="P166" i="8" s="1"/>
  <c r="O165" i="8"/>
  <c r="O166" i="8" s="1"/>
  <c r="N165" i="8"/>
  <c r="N166" i="8" s="1"/>
  <c r="M165" i="8"/>
  <c r="M166" i="8" s="1"/>
  <c r="L165" i="8"/>
  <c r="L166" i="8" s="1"/>
  <c r="K165" i="8"/>
  <c r="K166" i="8" s="1"/>
  <c r="I165" i="8"/>
  <c r="I166" i="8" s="1"/>
  <c r="J100" i="8"/>
  <c r="J101" i="8" s="1"/>
  <c r="I111" i="8"/>
  <c r="I112" i="8" s="1"/>
  <c r="Z111" i="8"/>
  <c r="Z112" i="8" s="1"/>
  <c r="Y111" i="8"/>
  <c r="Y112" i="8" s="1"/>
  <c r="X111" i="8"/>
  <c r="X112" i="8" s="1"/>
  <c r="W111" i="8"/>
  <c r="W112" i="8" s="1"/>
  <c r="V111" i="8"/>
  <c r="V112" i="8" s="1"/>
  <c r="U111" i="8"/>
  <c r="U112" i="8" s="1"/>
  <c r="T111" i="8"/>
  <c r="T112" i="8" s="1"/>
  <c r="S111" i="8"/>
  <c r="S112" i="8" s="1"/>
  <c r="R111" i="8"/>
  <c r="R112" i="8" s="1"/>
  <c r="Q111" i="8"/>
  <c r="Q112" i="8" s="1"/>
  <c r="P111" i="8"/>
  <c r="P112" i="8" s="1"/>
  <c r="O111" i="8"/>
  <c r="O112" i="8" s="1"/>
  <c r="N111" i="8"/>
  <c r="N112" i="8" s="1"/>
  <c r="M111" i="8"/>
  <c r="M112" i="8" s="1"/>
  <c r="L111" i="8"/>
  <c r="L112" i="8" s="1"/>
  <c r="K111" i="8"/>
  <c r="K112" i="8" s="1"/>
  <c r="J111" i="8"/>
  <c r="J112" i="8" s="1"/>
  <c r="Z140" i="8"/>
  <c r="Z141" i="8" s="1"/>
  <c r="Y140" i="8"/>
  <c r="Y141" i="8" s="1"/>
  <c r="X140" i="8"/>
  <c r="X141" i="8" s="1"/>
  <c r="W140" i="8"/>
  <c r="W141" i="8" s="1"/>
  <c r="V140" i="8"/>
  <c r="V141" i="8" s="1"/>
  <c r="U140" i="8"/>
  <c r="U141" i="8" s="1"/>
  <c r="T140" i="8"/>
  <c r="T141" i="8" s="1"/>
  <c r="S140" i="8"/>
  <c r="S141" i="8" s="1"/>
  <c r="R140" i="8"/>
  <c r="R141" i="8" s="1"/>
  <c r="Q140" i="8"/>
  <c r="Q141" i="8" s="1"/>
  <c r="P140" i="8"/>
  <c r="P141" i="8" s="1"/>
  <c r="O140" i="8"/>
  <c r="O141" i="8" s="1"/>
  <c r="N140" i="8"/>
  <c r="N141" i="8" s="1"/>
  <c r="M140" i="8"/>
  <c r="M141" i="8" s="1"/>
  <c r="L140" i="8"/>
  <c r="L141" i="8" s="1"/>
  <c r="K140" i="8"/>
  <c r="K141" i="8" s="1"/>
  <c r="J140" i="8"/>
  <c r="J141" i="8" s="1"/>
  <c r="I140" i="8"/>
  <c r="I141" i="8" s="1"/>
  <c r="M100" i="8"/>
  <c r="M101" i="8" s="1"/>
  <c r="Z100" i="8"/>
  <c r="Z101" i="8" s="1"/>
  <c r="Y100" i="8"/>
  <c r="Y101" i="8" s="1"/>
  <c r="X100" i="8"/>
  <c r="X101" i="8" s="1"/>
  <c r="W100" i="8"/>
  <c r="W101" i="8" s="1"/>
  <c r="V100" i="8"/>
  <c r="V101" i="8" s="1"/>
  <c r="U100" i="8"/>
  <c r="U101" i="8" s="1"/>
  <c r="T100" i="8"/>
  <c r="T101" i="8" s="1"/>
  <c r="S100" i="8"/>
  <c r="S101" i="8" s="1"/>
  <c r="R100" i="8"/>
  <c r="R101" i="8" s="1"/>
  <c r="Q100" i="8"/>
  <c r="Q101" i="8" s="1"/>
  <c r="P100" i="8"/>
  <c r="P101" i="8" s="1"/>
  <c r="O100" i="8"/>
  <c r="O101" i="8" s="1"/>
  <c r="N100" i="8"/>
  <c r="N101" i="8" s="1"/>
  <c r="L100" i="8"/>
  <c r="L101" i="8" s="1"/>
  <c r="K100" i="8"/>
  <c r="K101" i="8" s="1"/>
  <c r="I100" i="8"/>
  <c r="I101" i="8" s="1"/>
  <c r="K94" i="8"/>
  <c r="K95" i="8" s="1"/>
  <c r="Z94" i="8"/>
  <c r="Z95" i="8" s="1"/>
  <c r="Y94" i="8"/>
  <c r="Y95" i="8" s="1"/>
  <c r="X94" i="8"/>
  <c r="X95" i="8" s="1"/>
  <c r="W94" i="8"/>
  <c r="W95" i="8" s="1"/>
  <c r="V94" i="8"/>
  <c r="V95" i="8" s="1"/>
  <c r="U94" i="8"/>
  <c r="U95" i="8" s="1"/>
  <c r="T94" i="8"/>
  <c r="T95" i="8" s="1"/>
  <c r="S94" i="8"/>
  <c r="S95" i="8" s="1"/>
  <c r="R94" i="8"/>
  <c r="R95" i="8" s="1"/>
  <c r="Q94" i="8"/>
  <c r="Q95" i="8" s="1"/>
  <c r="P94" i="8"/>
  <c r="P95" i="8" s="1"/>
  <c r="O94" i="8"/>
  <c r="O95" i="8" s="1"/>
  <c r="N94" i="8"/>
  <c r="N95" i="8" s="1"/>
  <c r="M94" i="8"/>
  <c r="M95" i="8" s="1"/>
  <c r="L94" i="8"/>
  <c r="L95" i="8" s="1"/>
  <c r="J94" i="8"/>
  <c r="J95" i="8" s="1"/>
  <c r="I94" i="8"/>
  <c r="I95" i="8" s="1"/>
  <c r="K88" i="8"/>
  <c r="K89" i="8" s="1"/>
  <c r="Z88" i="8"/>
  <c r="Z89" i="8" s="1"/>
  <c r="Y88" i="8"/>
  <c r="Y89" i="8" s="1"/>
  <c r="X88" i="8"/>
  <c r="X89" i="8" s="1"/>
  <c r="W88" i="8"/>
  <c r="W89" i="8" s="1"/>
  <c r="V88" i="8"/>
  <c r="V89" i="8" s="1"/>
  <c r="U88" i="8"/>
  <c r="U89" i="8" s="1"/>
  <c r="T88" i="8"/>
  <c r="T89" i="8" s="1"/>
  <c r="S88" i="8"/>
  <c r="S89" i="8" s="1"/>
  <c r="R88" i="8"/>
  <c r="R89" i="8" s="1"/>
  <c r="Q88" i="8"/>
  <c r="Q89" i="8" s="1"/>
  <c r="P88" i="8"/>
  <c r="P89" i="8" s="1"/>
  <c r="O88" i="8"/>
  <c r="O89" i="8" s="1"/>
  <c r="N88" i="8"/>
  <c r="N89" i="8" s="1"/>
  <c r="M88" i="8"/>
  <c r="M89" i="8" s="1"/>
  <c r="L88" i="8"/>
  <c r="L89" i="8" s="1"/>
  <c r="J88" i="8"/>
  <c r="J89" i="8" s="1"/>
  <c r="I88" i="8"/>
  <c r="I89" i="8" s="1"/>
  <c r="L77" i="8"/>
  <c r="L78" i="8" s="1"/>
  <c r="Z77" i="8"/>
  <c r="Z78" i="8" s="1"/>
  <c r="Y77" i="8"/>
  <c r="Y78" i="8" s="1"/>
  <c r="X77" i="8"/>
  <c r="X78" i="8" s="1"/>
  <c r="W77" i="8"/>
  <c r="W78" i="8" s="1"/>
  <c r="V77" i="8"/>
  <c r="V78" i="8" s="1"/>
  <c r="U77" i="8"/>
  <c r="U78" i="8" s="1"/>
  <c r="T77" i="8"/>
  <c r="T78" i="8" s="1"/>
  <c r="S77" i="8"/>
  <c r="S78" i="8" s="1"/>
  <c r="R77" i="8"/>
  <c r="R78" i="8" s="1"/>
  <c r="Q77" i="8"/>
  <c r="Q78" i="8" s="1"/>
  <c r="P77" i="8"/>
  <c r="P78" i="8" s="1"/>
  <c r="O77" i="8"/>
  <c r="O78" i="8" s="1"/>
  <c r="N77" i="8"/>
  <c r="N78" i="8" s="1"/>
  <c r="M77" i="8"/>
  <c r="M78" i="8" s="1"/>
  <c r="K77" i="8"/>
  <c r="K78" i="8" s="1"/>
  <c r="J77" i="8"/>
  <c r="J78" i="8" s="1"/>
  <c r="I77" i="8"/>
  <c r="I78" i="8" s="1"/>
  <c r="L71" i="8"/>
  <c r="L72" i="8" s="1"/>
  <c r="Z71" i="8"/>
  <c r="Z72" i="8" s="1"/>
  <c r="Y71" i="8"/>
  <c r="Y72" i="8" s="1"/>
  <c r="X71" i="8"/>
  <c r="X72" i="8" s="1"/>
  <c r="W71" i="8"/>
  <c r="W72" i="8" s="1"/>
  <c r="V71" i="8"/>
  <c r="V72" i="8" s="1"/>
  <c r="U71" i="8"/>
  <c r="U72" i="8" s="1"/>
  <c r="T71" i="8"/>
  <c r="T72" i="8" s="1"/>
  <c r="S71" i="8"/>
  <c r="S72" i="8" s="1"/>
  <c r="R71" i="8"/>
  <c r="R72" i="8" s="1"/>
  <c r="Q71" i="8"/>
  <c r="Q72" i="8" s="1"/>
  <c r="P71" i="8"/>
  <c r="P72" i="8" s="1"/>
  <c r="O71" i="8"/>
  <c r="O72" i="8" s="1"/>
  <c r="N71" i="8"/>
  <c r="N72" i="8" s="1"/>
  <c r="M71" i="8"/>
  <c r="M72" i="8" s="1"/>
  <c r="K71" i="8"/>
  <c r="K72" i="8" s="1"/>
  <c r="J71" i="8"/>
  <c r="J72" i="8" s="1"/>
  <c r="I71" i="8"/>
  <c r="I72" i="8" s="1"/>
  <c r="L65" i="8"/>
  <c r="L66" i="8" s="1"/>
  <c r="I65" i="8"/>
  <c r="I66" i="8" s="1"/>
  <c r="Z65" i="8"/>
  <c r="Z66" i="8" s="1"/>
  <c r="Y65" i="8"/>
  <c r="Y66" i="8" s="1"/>
  <c r="X65" i="8"/>
  <c r="X66" i="8" s="1"/>
  <c r="W65" i="8"/>
  <c r="W66" i="8" s="1"/>
  <c r="V65" i="8"/>
  <c r="V66" i="8" s="1"/>
  <c r="U65" i="8"/>
  <c r="U66" i="8" s="1"/>
  <c r="T65" i="8"/>
  <c r="T66" i="8" s="1"/>
  <c r="S65" i="8"/>
  <c r="S66" i="8" s="1"/>
  <c r="R65" i="8"/>
  <c r="R66" i="8" s="1"/>
  <c r="Q65" i="8"/>
  <c r="Q66" i="8" s="1"/>
  <c r="P65" i="8"/>
  <c r="P66" i="8" s="1"/>
  <c r="O65" i="8"/>
  <c r="O66" i="8" s="1"/>
  <c r="N65" i="8"/>
  <c r="N66" i="8" s="1"/>
  <c r="M65" i="8"/>
  <c r="M66" i="8" s="1"/>
  <c r="K65" i="8"/>
  <c r="K66" i="8" s="1"/>
  <c r="J65" i="8"/>
  <c r="J66" i="8" s="1"/>
  <c r="L59" i="8"/>
  <c r="L60" i="8" s="1"/>
  <c r="I59" i="8"/>
  <c r="I60" i="8" s="1"/>
  <c r="Z59" i="8"/>
  <c r="Z60" i="8" s="1"/>
  <c r="Y59" i="8"/>
  <c r="Y60" i="8" s="1"/>
  <c r="X59" i="8"/>
  <c r="X60" i="8" s="1"/>
  <c r="W59" i="8"/>
  <c r="W60" i="8" s="1"/>
  <c r="V59" i="8"/>
  <c r="V60" i="8" s="1"/>
  <c r="U59" i="8"/>
  <c r="U60" i="8" s="1"/>
  <c r="T59" i="8"/>
  <c r="T60" i="8" s="1"/>
  <c r="S59" i="8"/>
  <c r="S60" i="8" s="1"/>
  <c r="R59" i="8"/>
  <c r="R60" i="8" s="1"/>
  <c r="Q59" i="8"/>
  <c r="Q60" i="8" s="1"/>
  <c r="P59" i="8"/>
  <c r="P60" i="8" s="1"/>
  <c r="O59" i="8"/>
  <c r="O60" i="8" s="1"/>
  <c r="N59" i="8"/>
  <c r="N60" i="8" s="1"/>
  <c r="M59" i="8"/>
  <c r="M60" i="8" s="1"/>
  <c r="K59" i="8"/>
  <c r="K60" i="8" s="1"/>
  <c r="J59" i="8"/>
  <c r="J60" i="8" s="1"/>
  <c r="L48" i="8"/>
  <c r="L49" i="8" s="1"/>
  <c r="I48" i="8"/>
  <c r="I49" i="8" s="1"/>
  <c r="Z48" i="8"/>
  <c r="Z49" i="8" s="1"/>
  <c r="Y48" i="8"/>
  <c r="Y49" i="8" s="1"/>
  <c r="X48" i="8"/>
  <c r="X49" i="8" s="1"/>
  <c r="W48" i="8"/>
  <c r="W49" i="8" s="1"/>
  <c r="V48" i="8"/>
  <c r="V49" i="8" s="1"/>
  <c r="U48" i="8"/>
  <c r="U49" i="8" s="1"/>
  <c r="T48" i="8"/>
  <c r="T49" i="8" s="1"/>
  <c r="S48" i="8"/>
  <c r="S49" i="8" s="1"/>
  <c r="R48" i="8"/>
  <c r="R49" i="8" s="1"/>
  <c r="Q48" i="8"/>
  <c r="Q49" i="8" s="1"/>
  <c r="P48" i="8"/>
  <c r="P49" i="8" s="1"/>
  <c r="O48" i="8"/>
  <c r="O49" i="8" s="1"/>
  <c r="N48" i="8"/>
  <c r="N49" i="8" s="1"/>
  <c r="M48" i="8"/>
  <c r="M49" i="8" s="1"/>
  <c r="K48" i="8"/>
  <c r="K49" i="8" s="1"/>
  <c r="J48" i="8"/>
  <c r="J49" i="8" s="1"/>
  <c r="N43" i="8"/>
  <c r="N44" i="8" s="1"/>
  <c r="I43" i="8"/>
  <c r="I44" i="8" s="1"/>
  <c r="Z43" i="8"/>
  <c r="Z44" i="8" s="1"/>
  <c r="Y43" i="8"/>
  <c r="Y44" i="8" s="1"/>
  <c r="X43" i="8"/>
  <c r="X44" i="8" s="1"/>
  <c r="W43" i="8"/>
  <c r="W44" i="8" s="1"/>
  <c r="V43" i="8"/>
  <c r="V44" i="8" s="1"/>
  <c r="U43" i="8"/>
  <c r="U44" i="8" s="1"/>
  <c r="T43" i="8"/>
  <c r="T44" i="8" s="1"/>
  <c r="S43" i="8"/>
  <c r="S44" i="8" s="1"/>
  <c r="R43" i="8"/>
  <c r="R44" i="8" s="1"/>
  <c r="Q43" i="8"/>
  <c r="Q44" i="8" s="1"/>
  <c r="P43" i="8"/>
  <c r="P44" i="8" s="1"/>
  <c r="O43" i="8"/>
  <c r="O44" i="8" s="1"/>
  <c r="M43" i="8"/>
  <c r="M44" i="8" s="1"/>
  <c r="L43" i="8"/>
  <c r="L44" i="8" s="1"/>
  <c r="K43" i="8"/>
  <c r="K44" i="8" s="1"/>
  <c r="J43" i="8"/>
  <c r="J44" i="8" s="1"/>
  <c r="M38" i="8"/>
  <c r="M39" i="8" s="1"/>
  <c r="I38" i="8"/>
  <c r="I39" i="8" s="1"/>
  <c r="Z38" i="8"/>
  <c r="Z39" i="8" s="1"/>
  <c r="Y38" i="8"/>
  <c r="Y39" i="8" s="1"/>
  <c r="X38" i="8"/>
  <c r="X39" i="8" s="1"/>
  <c r="W38" i="8"/>
  <c r="W39" i="8" s="1"/>
  <c r="V38" i="8"/>
  <c r="V39" i="8" s="1"/>
  <c r="U38" i="8"/>
  <c r="U39" i="8" s="1"/>
  <c r="T38" i="8"/>
  <c r="T39" i="8" s="1"/>
  <c r="S38" i="8"/>
  <c r="S39" i="8" s="1"/>
  <c r="R38" i="8"/>
  <c r="R39" i="8" s="1"/>
  <c r="Q38" i="8"/>
  <c r="Q39" i="8" s="1"/>
  <c r="P38" i="8"/>
  <c r="P39" i="8" s="1"/>
  <c r="O38" i="8"/>
  <c r="O39" i="8" s="1"/>
  <c r="N38" i="8"/>
  <c r="N39" i="8" s="1"/>
  <c r="L38" i="8"/>
  <c r="L39" i="8" s="1"/>
  <c r="K38" i="8"/>
  <c r="K39" i="8" s="1"/>
  <c r="J38" i="8"/>
  <c r="J39" i="8" s="1"/>
  <c r="M33" i="8"/>
  <c r="M34" i="8" s="1"/>
  <c r="N33" i="8"/>
  <c r="N34" i="8" s="1"/>
  <c r="O33" i="8"/>
  <c r="O34" i="8" s="1"/>
  <c r="P33" i="8"/>
  <c r="P34" i="8" s="1"/>
  <c r="Q33" i="8"/>
  <c r="Q34" i="8" s="1"/>
  <c r="R33" i="8"/>
  <c r="R34" i="8" s="1"/>
  <c r="S33" i="8"/>
  <c r="S34" i="8" s="1"/>
  <c r="T33" i="8"/>
  <c r="T34" i="8" s="1"/>
  <c r="U33" i="8"/>
  <c r="U34" i="8" s="1"/>
  <c r="V33" i="8"/>
  <c r="V34" i="8" s="1"/>
  <c r="W33" i="8"/>
  <c r="W34" i="8" s="1"/>
  <c r="X33" i="8"/>
  <c r="X34" i="8" s="1"/>
  <c r="Y33" i="8"/>
  <c r="Y34" i="8" s="1"/>
  <c r="Z33" i="8"/>
  <c r="Z34" i="8" s="1"/>
  <c r="K33" i="8"/>
  <c r="K34" i="8" s="1"/>
  <c r="J33" i="8"/>
  <c r="J34" i="8" s="1"/>
  <c r="L33" i="8"/>
  <c r="L34" i="8" s="1"/>
  <c r="A179" i="8"/>
  <c r="A173" i="8"/>
  <c r="D146" i="8"/>
  <c r="A146" i="8"/>
  <c r="I142" i="8"/>
  <c r="H142" i="8"/>
  <c r="G142" i="8"/>
  <c r="F142" i="8"/>
  <c r="E142" i="8"/>
  <c r="A142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A13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D115" i="8" s="1"/>
  <c r="A116" i="8"/>
  <c r="A115" i="8"/>
  <c r="A114" i="8"/>
  <c r="A107" i="8"/>
  <c r="D106" i="8"/>
  <c r="D103" i="8"/>
  <c r="A102" i="8"/>
  <c r="A96" i="8"/>
  <c r="A90" i="8"/>
  <c r="A84" i="8"/>
  <c r="D83" i="8"/>
  <c r="D80" i="8"/>
  <c r="A79" i="8"/>
  <c r="D74" i="8"/>
  <c r="T74" i="8" s="1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A73" i="8"/>
  <c r="D68" i="8"/>
  <c r="Y68" i="8" s="1"/>
  <c r="A67" i="8"/>
  <c r="D62" i="8"/>
  <c r="A61" i="8"/>
  <c r="D56" i="8"/>
  <c r="A55" i="8"/>
  <c r="D54" i="8"/>
  <c r="D51" i="8"/>
  <c r="A50" i="8"/>
  <c r="A45" i="8"/>
  <c r="A40" i="8"/>
  <c r="A35" i="8"/>
  <c r="C32" i="8"/>
  <c r="A30" i="8"/>
  <c r="D29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D26" i="8"/>
  <c r="A25" i="8"/>
  <c r="A24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C16" i="8"/>
  <c r="E15" i="8"/>
  <c r="E45" i="8" s="1"/>
  <c r="C14" i="8"/>
  <c r="D102" i="8" l="1"/>
  <c r="D25" i="8"/>
  <c r="F68" i="8"/>
  <c r="J68" i="8"/>
  <c r="Z68" i="8"/>
  <c r="R68" i="8"/>
  <c r="D50" i="8"/>
  <c r="C20" i="8"/>
  <c r="D114" i="8"/>
  <c r="D79" i="8"/>
  <c r="K68" i="8"/>
  <c r="S68" i="8"/>
  <c r="F74" i="8"/>
  <c r="N74" i="8"/>
  <c r="V74" i="8"/>
  <c r="E167" i="8"/>
  <c r="E179" i="8"/>
  <c r="E21" i="8"/>
  <c r="L68" i="8"/>
  <c r="T68" i="8"/>
  <c r="G74" i="8"/>
  <c r="O74" i="8"/>
  <c r="W74" i="8"/>
  <c r="M68" i="8"/>
  <c r="U68" i="8"/>
  <c r="H74" i="8"/>
  <c r="P74" i="8"/>
  <c r="X74" i="8"/>
  <c r="E161" i="8"/>
  <c r="M74" i="8"/>
  <c r="E30" i="8"/>
  <c r="N68" i="8"/>
  <c r="V68" i="8"/>
  <c r="I74" i="8"/>
  <c r="Q74" i="8"/>
  <c r="Y74" i="8"/>
  <c r="E90" i="8"/>
  <c r="U74" i="8"/>
  <c r="E67" i="8"/>
  <c r="G68" i="8"/>
  <c r="O68" i="8"/>
  <c r="W68" i="8"/>
  <c r="J74" i="8"/>
  <c r="R74" i="8"/>
  <c r="Z74" i="8"/>
  <c r="E157" i="8"/>
  <c r="F15" i="8"/>
  <c r="H68" i="8"/>
  <c r="P68" i="8"/>
  <c r="X68" i="8"/>
  <c r="K74" i="8"/>
  <c r="S74" i="8"/>
  <c r="I68" i="8"/>
  <c r="Q68" i="8"/>
  <c r="L74" i="8"/>
  <c r="D24" i="8" l="1"/>
  <c r="D186" i="8" s="1"/>
  <c r="F45" i="8"/>
  <c r="F157" i="8"/>
  <c r="F67" i="8"/>
  <c r="G15" i="8"/>
  <c r="F90" i="8"/>
  <c r="F30" i="8"/>
  <c r="F161" i="8"/>
  <c r="F21" i="8"/>
  <c r="F179" i="8"/>
  <c r="F167" i="8"/>
  <c r="G157" i="8" l="1"/>
  <c r="G67" i="8"/>
  <c r="H15" i="8"/>
  <c r="G90" i="8"/>
  <c r="G30" i="8"/>
  <c r="G161" i="8"/>
  <c r="G21" i="8"/>
  <c r="G179" i="8"/>
  <c r="G167" i="8"/>
  <c r="G45" i="8"/>
  <c r="H90" i="8" l="1"/>
  <c r="H30" i="8"/>
  <c r="H161" i="8"/>
  <c r="H67" i="8"/>
  <c r="H21" i="8"/>
  <c r="H179" i="8"/>
  <c r="H167" i="8"/>
  <c r="I15" i="8"/>
  <c r="H45" i="8"/>
  <c r="H157" i="8"/>
  <c r="I161" i="8" l="1"/>
  <c r="I21" i="8"/>
  <c r="I30" i="8"/>
  <c r="I179" i="8"/>
  <c r="I167" i="8"/>
  <c r="I90" i="8"/>
  <c r="I45" i="8"/>
  <c r="I157" i="8"/>
  <c r="I67" i="8"/>
  <c r="J15" i="8"/>
  <c r="J21" i="8" l="1"/>
  <c r="J161" i="8"/>
  <c r="J179" i="8"/>
  <c r="J167" i="8"/>
  <c r="K15" i="8"/>
  <c r="J45" i="8"/>
  <c r="J157" i="8"/>
  <c r="J67" i="8"/>
  <c r="J90" i="8"/>
  <c r="J30" i="8"/>
  <c r="K179" i="8" l="1"/>
  <c r="K167" i="8"/>
  <c r="K21" i="8"/>
  <c r="K45" i="8"/>
  <c r="K157" i="8"/>
  <c r="K67" i="8"/>
  <c r="L15" i="8"/>
  <c r="K90" i="8"/>
  <c r="K30" i="8"/>
  <c r="K161" i="8"/>
  <c r="L45" i="8" l="1"/>
  <c r="M15" i="8"/>
  <c r="L157" i="8"/>
  <c r="L67" i="8"/>
  <c r="L90" i="8"/>
  <c r="L30" i="8"/>
  <c r="L161" i="8"/>
  <c r="L21" i="8"/>
  <c r="L179" i="8"/>
  <c r="L167" i="8"/>
  <c r="M45" i="8" l="1"/>
  <c r="M157" i="8"/>
  <c r="M67" i="8"/>
  <c r="N15" i="8"/>
  <c r="M90" i="8"/>
  <c r="M30" i="8"/>
  <c r="M161" i="8"/>
  <c r="M21" i="8"/>
  <c r="M179" i="8"/>
  <c r="M167" i="8"/>
  <c r="N45" i="8" l="1"/>
  <c r="N157" i="8"/>
  <c r="N67" i="8"/>
  <c r="O15" i="8"/>
  <c r="N90" i="8"/>
  <c r="N30" i="8"/>
  <c r="N161" i="8"/>
  <c r="N21" i="8"/>
  <c r="N179" i="8"/>
  <c r="N167" i="8"/>
  <c r="O157" i="8" l="1"/>
  <c r="O67" i="8"/>
  <c r="P15" i="8"/>
  <c r="O90" i="8"/>
  <c r="O30" i="8"/>
  <c r="O161" i="8"/>
  <c r="O21" i="8"/>
  <c r="O45" i="8"/>
  <c r="O179" i="8"/>
  <c r="O167" i="8"/>
  <c r="P90" i="8" l="1"/>
  <c r="P30" i="8"/>
  <c r="P161" i="8"/>
  <c r="P21" i="8"/>
  <c r="Q15" i="8"/>
  <c r="P179" i="8"/>
  <c r="P167" i="8"/>
  <c r="P157" i="8"/>
  <c r="P67" i="8"/>
  <c r="P45" i="8"/>
  <c r="Q161" i="8" l="1"/>
  <c r="Q21" i="8"/>
  <c r="Q179" i="8"/>
  <c r="Q167" i="8"/>
  <c r="Q90" i="8"/>
  <c r="Q45" i="8"/>
  <c r="Q30" i="8"/>
  <c r="Q157" i="8"/>
  <c r="Q67" i="8"/>
  <c r="R15" i="8"/>
  <c r="R21" i="8" l="1"/>
  <c r="S15" i="8"/>
  <c r="R179" i="8"/>
  <c r="R167" i="8"/>
  <c r="R45" i="8"/>
  <c r="R161" i="8"/>
  <c r="R157" i="8"/>
  <c r="R67" i="8"/>
  <c r="R90" i="8"/>
  <c r="R30" i="8"/>
  <c r="S179" i="8" l="1"/>
  <c r="S167" i="8"/>
  <c r="S45" i="8"/>
  <c r="S157" i="8"/>
  <c r="S67" i="8"/>
  <c r="T15" i="8"/>
  <c r="S90" i="8"/>
  <c r="S30" i="8"/>
  <c r="S21" i="8"/>
  <c r="S161" i="8"/>
  <c r="U15" i="8" l="1"/>
  <c r="T45" i="8"/>
  <c r="T157" i="8"/>
  <c r="T67" i="8"/>
  <c r="T90" i="8"/>
  <c r="T30" i="8"/>
  <c r="T161" i="8"/>
  <c r="T21" i="8"/>
  <c r="T179" i="8"/>
  <c r="T167" i="8"/>
  <c r="U45" i="8" l="1"/>
  <c r="V15" i="8"/>
  <c r="U157" i="8"/>
  <c r="U67" i="8"/>
  <c r="U90" i="8"/>
  <c r="U30" i="8"/>
  <c r="U161" i="8"/>
  <c r="U21" i="8"/>
  <c r="U179" i="8"/>
  <c r="U167" i="8"/>
  <c r="V45" i="8" l="1"/>
  <c r="V157" i="8"/>
  <c r="V67" i="8"/>
  <c r="W15" i="8"/>
  <c r="V90" i="8"/>
  <c r="V30" i="8"/>
  <c r="V161" i="8"/>
  <c r="V21" i="8"/>
  <c r="V179" i="8"/>
  <c r="V167" i="8"/>
  <c r="W157" i="8" l="1"/>
  <c r="W67" i="8"/>
  <c r="X15" i="8"/>
  <c r="W90" i="8"/>
  <c r="W30" i="8"/>
  <c r="W21" i="8"/>
  <c r="W161" i="8"/>
  <c r="W179" i="8"/>
  <c r="W167" i="8"/>
  <c r="W45" i="8"/>
  <c r="X90" i="8" l="1"/>
  <c r="X30" i="8"/>
  <c r="X161" i="8"/>
  <c r="X157" i="8"/>
  <c r="Y15" i="8"/>
  <c r="X21" i="8"/>
  <c r="X179" i="8"/>
  <c r="X167" i="8"/>
  <c r="X67" i="8"/>
  <c r="X45" i="8"/>
  <c r="Y161" i="8" l="1"/>
  <c r="Y90" i="8"/>
  <c r="Y21" i="8"/>
  <c r="Y179" i="8"/>
  <c r="Y167" i="8"/>
  <c r="Y30" i="8"/>
  <c r="Y45" i="8"/>
  <c r="Y157" i="8"/>
  <c r="Y67" i="8"/>
  <c r="Z15" i="8"/>
  <c r="Z21" i="8" l="1"/>
  <c r="Z179" i="8"/>
  <c r="Z167" i="8"/>
  <c r="Z161" i="8"/>
  <c r="C124" i="8"/>
  <c r="Z45" i="8"/>
  <c r="Z157" i="8"/>
  <c r="Z67" i="8"/>
  <c r="Z90" i="8"/>
  <c r="Z30" i="8"/>
  <c r="B199" i="8" l="1"/>
  <c r="B197" i="8" l="1"/>
  <c r="B198" i="8" l="1"/>
  <c r="B193" i="8" l="1"/>
  <c r="B191" i="8"/>
  <c r="C15" i="6" l="1"/>
  <c r="B18" i="6"/>
  <c r="C20" i="6"/>
  <c r="C21" i="6"/>
  <c r="C22" i="6"/>
  <c r="C23" i="6"/>
  <c r="C25" i="6"/>
  <c r="B29" i="6"/>
  <c r="B27" i="6" s="1"/>
  <c r="C30" i="6"/>
  <c r="C31" i="6"/>
  <c r="C32" i="6"/>
  <c r="B33" i="6"/>
  <c r="C34" i="6"/>
  <c r="C35" i="6"/>
  <c r="C36" i="6"/>
  <c r="B38" i="6"/>
  <c r="C40" i="6"/>
  <c r="C38" i="6" s="1"/>
  <c r="B62" i="6" s="1"/>
  <c r="R62" i="6" s="1"/>
  <c r="B53" i="6"/>
  <c r="C53" i="6"/>
  <c r="R54" i="6"/>
  <c r="R56" i="6"/>
  <c r="B64" i="6"/>
  <c r="C64" i="6" s="1"/>
  <c r="R67" i="6"/>
  <c r="D5" i="5"/>
  <c r="D2" i="5"/>
  <c r="D4" i="5"/>
  <c r="D3" i="5"/>
  <c r="C33" i="6" l="1"/>
  <c r="C61" i="6" s="1"/>
  <c r="B51" i="6"/>
  <c r="R51" i="6" s="1"/>
  <c r="C18" i="6"/>
  <c r="C29" i="6"/>
  <c r="C27" i="6" s="1"/>
  <c r="R68" i="6"/>
  <c r="R55" i="6"/>
  <c r="R57" i="6"/>
  <c r="C48" i="6"/>
  <c r="D64" i="6"/>
  <c r="B50" i="6"/>
  <c r="B61" i="6"/>
  <c r="C59" i="6"/>
  <c r="D66" i="6"/>
  <c r="E66" i="6" s="1"/>
  <c r="F66" i="6" s="1"/>
  <c r="G66" i="6" s="1"/>
  <c r="H66" i="6" s="1"/>
  <c r="I66" i="6" s="1"/>
  <c r="J66" i="6" s="1"/>
  <c r="K66" i="6" s="1"/>
  <c r="L66" i="6" s="1"/>
  <c r="M66" i="6" s="1"/>
  <c r="N66" i="6" s="1"/>
  <c r="O66" i="6" s="1"/>
  <c r="P66" i="6" s="1"/>
  <c r="Q66" i="6" s="1"/>
  <c r="D53" i="6"/>
  <c r="D48" i="6" l="1"/>
  <c r="E53" i="6"/>
  <c r="R50" i="6"/>
  <c r="B48" i="6"/>
  <c r="R66" i="6"/>
  <c r="R61" i="6"/>
  <c r="B59" i="6"/>
  <c r="E64" i="6"/>
  <c r="D59" i="6"/>
  <c r="F53" i="6" l="1"/>
  <c r="E48" i="6"/>
  <c r="E59" i="6"/>
  <c r="F64" i="6"/>
  <c r="G53" i="6" l="1"/>
  <c r="F48" i="6"/>
  <c r="G64" i="6"/>
  <c r="F59" i="6"/>
  <c r="B194" i="8" l="1"/>
  <c r="G48" i="6"/>
  <c r="H53" i="6"/>
  <c r="H64" i="6"/>
  <c r="G59" i="6"/>
  <c r="B195" i="8" l="1"/>
  <c r="B196" i="8"/>
  <c r="B192" i="8"/>
  <c r="D191" i="8" s="1"/>
  <c r="I64" i="6"/>
  <c r="H59" i="6"/>
  <c r="H48" i="6"/>
  <c r="I53" i="6"/>
  <c r="I59" i="6" l="1"/>
  <c r="J64" i="6"/>
  <c r="J53" i="6"/>
  <c r="I48" i="6"/>
  <c r="D193" i="8" l="1"/>
  <c r="K53" i="6"/>
  <c r="J48" i="6"/>
  <c r="K64" i="6"/>
  <c r="J59" i="6"/>
  <c r="D194" i="8" l="1"/>
  <c r="D192" i="8"/>
  <c r="L64" i="6"/>
  <c r="K59" i="6"/>
  <c r="K48" i="6"/>
  <c r="L53" i="6"/>
  <c r="L48" i="6" l="1"/>
  <c r="M53" i="6"/>
  <c r="M64" i="6"/>
  <c r="L59" i="6"/>
  <c r="M59" i="6" l="1"/>
  <c r="N64" i="6"/>
  <c r="N53" i="6"/>
  <c r="M48" i="6"/>
  <c r="O53" i="6" l="1"/>
  <c r="N48" i="6"/>
  <c r="O64" i="6"/>
  <c r="N59" i="6"/>
  <c r="P64" i="6" l="1"/>
  <c r="O59" i="6"/>
  <c r="O48" i="6"/>
  <c r="P53" i="6"/>
  <c r="P48" i="6" l="1"/>
  <c r="Q53" i="6"/>
  <c r="Q64" i="6"/>
  <c r="P59" i="6"/>
  <c r="Q59" i="6" l="1"/>
  <c r="R59" i="6" s="1"/>
  <c r="R64" i="6"/>
  <c r="Q48" i="6"/>
  <c r="R48" i="6" s="1"/>
  <c r="R53" i="6"/>
</calcChain>
</file>

<file path=xl/sharedStrings.xml><?xml version="1.0" encoding="utf-8"?>
<sst xmlns="http://schemas.openxmlformats.org/spreadsheetml/2006/main" count="291" uniqueCount="101">
  <si>
    <t>Totaal</t>
  </si>
  <si>
    <t>Water met Fluvius - uitrol over 8 jaar</t>
  </si>
  <si>
    <t>Uitrolscenario</t>
  </si>
  <si>
    <t>Totaal meterpark</t>
  </si>
  <si>
    <t>/ jaar</t>
  </si>
  <si>
    <t>PIDPA</t>
  </si>
  <si>
    <t>cumulatief</t>
  </si>
  <si>
    <t>DWG</t>
  </si>
  <si>
    <t>FARYS</t>
  </si>
  <si>
    <t>Fluvius (samen installeren)</t>
  </si>
  <si>
    <t>€ / meter / jaar</t>
  </si>
  <si>
    <t>Aankoop &amp; plaatsing versterkers</t>
  </si>
  <si>
    <t>Baten - kosten</t>
  </si>
  <si>
    <t>Baten</t>
  </si>
  <si>
    <t>Efficiënter investeren in assets</t>
  </si>
  <si>
    <t>Minder personeelskost</t>
  </si>
  <si>
    <t>Vermeden contaminaties</t>
  </si>
  <si>
    <t>Kosten</t>
  </si>
  <si>
    <t>Totaal éénmalige kosten</t>
  </si>
  <si>
    <t>Totaal wederkerende kosten</t>
  </si>
  <si>
    <t>Klantenportaal</t>
  </si>
  <si>
    <t>Jaarlijks onderhoud platformen/koppelingen</t>
  </si>
  <si>
    <t>Gemiddelde SAP interne onderhoudskost</t>
  </si>
  <si>
    <t>Communicatiekost</t>
  </si>
  <si>
    <t>Gebruik AMM</t>
  </si>
  <si>
    <t>Water-link</t>
  </si>
  <si>
    <t>&gt;25k&lt;100k meters</t>
  </si>
  <si>
    <t>&gt;100k&lt;1 000k meters</t>
  </si>
  <si>
    <t>&gt;1 000k meters</t>
  </si>
  <si>
    <t>Recurrent per meter</t>
  </si>
  <si>
    <t xml:space="preserve"> bedrag tussen</t>
  </si>
  <si>
    <t>Kostprijs/device Smart Meter Platform (informatief)</t>
  </si>
  <si>
    <t>Euro/jaar/meter</t>
  </si>
  <si>
    <t>Kostprijsparameters (onbekend vandaag):
- hoeveelheid data
- hoelang in welke detail bewaren
- streams (communiceren met HES)
- gezamenlijke aankoop mogelijk voor volume?
- ….</t>
  </si>
  <si>
    <t>euro/meter/jaar</t>
  </si>
  <si>
    <t>input Marijke (obv. input Hydroko jan 2019)</t>
  </si>
  <si>
    <t>Data-as-a-service Fluvius (2021-2022)</t>
  </si>
  <si>
    <t>Data-as a-service Fluvius (2023 - ….)</t>
  </si>
  <si>
    <t>beide scenario's</t>
  </si>
  <si>
    <t>obv. lijn 4 gemiddelde van 3€/meter vooropgesteld na gesprek Inge d.d. 27/04</t>
  </si>
  <si>
    <t>Recurrent onafhankelijk van aantal meters</t>
  </si>
  <si>
    <t>TOTAAL</t>
  </si>
  <si>
    <t>Opzet smartmeterplatform (STAND ALONE)</t>
  </si>
  <si>
    <t>Opzet C4E (indexen/masterdata)</t>
  </si>
  <si>
    <t>Integratie backend (SAP AMI)</t>
  </si>
  <si>
    <t xml:space="preserve">Koppeling DaaS-provider </t>
  </si>
  <si>
    <t>Opzet alarmen - architectuur</t>
  </si>
  <si>
    <t>Opzet alarmen - platform (heel high level)</t>
  </si>
  <si>
    <t xml:space="preserve">Opzet alarmen - integratie CRM/backend (heel high level) </t>
  </si>
  <si>
    <t>Fluvius (extra bovenop voorgaande (rij 19 tem 24))</t>
  </si>
  <si>
    <t>Koppeling Fluvius KT - architectuur</t>
  </si>
  <si>
    <t>Aanpassing logistieke processen KT in back-end (heel high level)</t>
  </si>
  <si>
    <t>Koppeling Fluvius LT - architectuur</t>
  </si>
  <si>
    <t>Koppeling Fluivius LT - implementatie (heel high level)</t>
  </si>
  <si>
    <t>Aanpassing logistieke processen in back-end (heel high level)</t>
  </si>
  <si>
    <t>Apart of integratie? - (heel high level)</t>
  </si>
  <si>
    <t>Stand-alone</t>
  </si>
  <si>
    <t>- Investeringen</t>
  </si>
  <si>
    <t>Smartmeterplatform</t>
  </si>
  <si>
    <t>- Recurrent</t>
  </si>
  <si>
    <t>Onderhoud per jaar platform</t>
  </si>
  <si>
    <t>Activatiekost per extra meter</t>
  </si>
  <si>
    <t>Communicatiekost recurrent per meter</t>
  </si>
  <si>
    <t>Fluvius</t>
  </si>
  <si>
    <t>Communicatiekost recurrent per meter (2021-2022)</t>
  </si>
  <si>
    <t>Communicatiekost recurrent per meter (2023-2036)</t>
  </si>
  <si>
    <t>Uitrol over 16 jaar met een businesscase over 20 jaar</t>
  </si>
  <si>
    <t>Uitrol over 7 jaar met een businesscase over 16 jaar</t>
  </si>
  <si>
    <t>Uitrol over 16 jaar met een businesscase over 16 jaar</t>
  </si>
  <si>
    <t>Alle baten gerealiseerd tijdens de eerste 8 jaar met een businesscase over 20 jaar</t>
  </si>
  <si>
    <t>Aanpassingen t.o.v. originele businesscase DWG:</t>
  </si>
  <si>
    <t>- NRW naar 1%</t>
  </si>
  <si>
    <t>- Correctere meetwaarden naar 1%</t>
  </si>
  <si>
    <t>- Doorrekenen meerkost nieuwe aftakkingen: gem. kostprijs van een nieuwe aftakking is €86,6 (incl. grotere diameters, 10% meters met klep aan €140), analoge meter kost €15,6 na schrootwaarde (zie businesscase syst. MVV), aantal verwachte nieuwe aftakkingen over 16 jaar is +- 113.000</t>
  </si>
  <si>
    <t>- Aanpassing marketing &amp; communicatiekost naar principe PIDPA &amp; FARYS</t>
  </si>
  <si>
    <t>Deel FARYS</t>
  </si>
  <si>
    <t>Kostprijs/device Smart Meter Platform (zoals besproken) : activatiekost</t>
  </si>
  <si>
    <t>Data-as-a-service (Hydroko - stand alone case) : communicatiekost</t>
  </si>
  <si>
    <t>Hydroko : gebruik AMM</t>
  </si>
  <si>
    <t>Onderhoud/jaar  platformen/koppelingen (enkel deel Farys)</t>
  </si>
  <si>
    <t>Investering (afschrijving 7 jaar?) - rekening houdend met verdeling (elk 1/3 voor gezamenlijke posten)</t>
  </si>
  <si>
    <t>extra 100k</t>
  </si>
  <si>
    <t>Proefproject</t>
  </si>
  <si>
    <t>Koppeling Fluvius KT  - implementatie (heel high level)</t>
  </si>
  <si>
    <t>Versnelde uitrol - vanaf 2022 te rekenen</t>
  </si>
  <si>
    <t>PIDPA &amp; DWG &amp; FARYS</t>
  </si>
  <si>
    <t>IWVA</t>
  </si>
  <si>
    <t>AGSO</t>
  </si>
  <si>
    <t>Vlaamse watersector</t>
  </si>
  <si>
    <t>Actievatiekost</t>
  </si>
  <si>
    <t>Opzet smartmeterplatform (VDNB= slim maken meter)</t>
  </si>
  <si>
    <t>?</t>
  </si>
  <si>
    <t>Resultaat / aftakking / jaar:</t>
  </si>
  <si>
    <t>Sneller en correcter factureren</t>
  </si>
  <si>
    <t>Digitale watemeters</t>
  </si>
  <si>
    <t>Herindeling kosten (voor grafiek "te publiceren BC"</t>
  </si>
  <si>
    <t>IT-systemen</t>
  </si>
  <si>
    <t>Projectkosten</t>
  </si>
  <si>
    <t>Data- en communicatiekosten</t>
  </si>
  <si>
    <t>Bijkomend personeel</t>
  </si>
  <si>
    <t>Uitrol ten laatste tegen 2030 afgerond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</si>
</sst>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5" formatCode="_-* #,##0.00\ &quot;€&quot;_-;\-* #,##0.00\ &quot;€&quot;_-;_-* &quot;-&quot;??\ &quot;€&quot;_-;_-@_-"/>
    <numFmt numFmtId="166" formatCode="#,##0.00\ &quot;€&quot;"/>
    <numFmt numFmtId="167" formatCode="&quot;€&quot;\ #,##0.00"/>
    <numFmt numFmtId="168" formatCode="#,##0\ &quot;€&quot;"/>
    <numFmt numFmtId="169" formatCode="&quot;€&quot;\ #,##0"/>
    <numFmt numFmtId="170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 vertical="center" wrapText="1"/>
    </xf>
    <xf numFmtId="167" fontId="0" fillId="0" borderId="0" xfId="0" applyNumberFormat="1"/>
    <xf numFmtId="3" fontId="0" fillId="3" borderId="0" xfId="0" applyNumberFormat="1" applyFill="1"/>
    <xf numFmtId="168" fontId="0" fillId="0" borderId="0" xfId="0" applyNumberFormat="1"/>
    <xf numFmtId="0" fontId="0" fillId="0" borderId="0" xfId="0" quotePrefix="1" applyAlignment="1">
      <alignment horizontal="left" indent="3"/>
    </xf>
    <xf numFmtId="168" fontId="0" fillId="7" borderId="0" xfId="0" applyNumberFormat="1" applyFill="1"/>
    <xf numFmtId="0" fontId="0" fillId="7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168" fontId="0" fillId="0" borderId="0" xfId="1" applyNumberFormat="1" applyFont="1"/>
    <xf numFmtId="168" fontId="6" fillId="0" borderId="0" xfId="1" applyNumberFormat="1" applyFont="1"/>
    <xf numFmtId="168" fontId="0" fillId="8" borderId="0" xfId="1" applyNumberFormat="1" applyFont="1" applyFill="1"/>
    <xf numFmtId="0" fontId="0" fillId="8" borderId="0" xfId="0" applyFill="1"/>
    <xf numFmtId="168" fontId="1" fillId="0" borderId="0" xfId="1" applyNumberFormat="1" applyFont="1"/>
    <xf numFmtId="0" fontId="6" fillId="0" borderId="0" xfId="0" applyFont="1"/>
    <xf numFmtId="168" fontId="6" fillId="0" borderId="0" xfId="0" applyNumberFormat="1" applyFont="1"/>
    <xf numFmtId="168" fontId="7" fillId="0" borderId="0" xfId="0" applyNumberFormat="1" applyFont="1"/>
    <xf numFmtId="0" fontId="7" fillId="0" borderId="0" xfId="0" applyFont="1"/>
    <xf numFmtId="166" fontId="0" fillId="0" borderId="0" xfId="1" applyNumberFormat="1" applyFont="1"/>
    <xf numFmtId="43" fontId="6" fillId="0" borderId="0" xfId="1" applyFont="1"/>
    <xf numFmtId="0" fontId="6" fillId="0" borderId="0" xfId="0" applyFont="1" applyAlignment="1">
      <alignment horizontal="left" vertical="center"/>
    </xf>
    <xf numFmtId="0" fontId="0" fillId="9" borderId="0" xfId="0" applyFill="1"/>
    <xf numFmtId="0" fontId="0" fillId="10" borderId="0" xfId="0" applyFill="1"/>
    <xf numFmtId="0" fontId="8" fillId="0" borderId="0" xfId="0" applyFont="1" applyAlignment="1">
      <alignment wrapText="1"/>
    </xf>
    <xf numFmtId="0" fontId="8" fillId="0" borderId="0" xfId="0" applyFont="1"/>
    <xf numFmtId="169" fontId="0" fillId="0" borderId="0" xfId="0" applyNumberFormat="1"/>
    <xf numFmtId="0" fontId="0" fillId="2" borderId="0" xfId="0" applyFill="1" applyAlignment="1">
      <alignment vertical="center"/>
    </xf>
    <xf numFmtId="3" fontId="0" fillId="2" borderId="0" xfId="0" applyNumberFormat="1" applyFill="1"/>
    <xf numFmtId="0" fontId="0" fillId="5" borderId="0" xfId="0" applyFill="1" applyAlignment="1">
      <alignment vertical="center"/>
    </xf>
    <xf numFmtId="3" fontId="0" fillId="5" borderId="0" xfId="0" applyNumberFormat="1" applyFill="1"/>
    <xf numFmtId="0" fontId="0" fillId="11" borderId="0" xfId="0" applyFill="1" applyAlignment="1">
      <alignment vertical="center"/>
    </xf>
    <xf numFmtId="3" fontId="0" fillId="11" borderId="0" xfId="0" applyNumberFormat="1" applyFill="1"/>
    <xf numFmtId="0" fontId="0" fillId="12" borderId="0" xfId="0" applyFill="1" applyAlignment="1">
      <alignment vertical="center"/>
    </xf>
    <xf numFmtId="3" fontId="0" fillId="12" borderId="0" xfId="0" applyNumberFormat="1" applyFill="1"/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0" xfId="0" applyFill="1"/>
    <xf numFmtId="0" fontId="2" fillId="4" borderId="0" xfId="0" applyFont="1" applyFill="1"/>
    <xf numFmtId="0" fontId="0" fillId="2" borderId="0" xfId="0" applyFill="1"/>
    <xf numFmtId="169" fontId="2" fillId="4" borderId="0" xfId="0" applyNumberFormat="1" applyFont="1" applyFill="1"/>
    <xf numFmtId="169" fontId="0" fillId="2" borderId="0" xfId="0" applyNumberFormat="1" applyFill="1"/>
    <xf numFmtId="0" fontId="2" fillId="13" borderId="0" xfId="0" applyFont="1" applyFill="1"/>
    <xf numFmtId="169" fontId="2" fillId="13" borderId="0" xfId="0" applyNumberFormat="1" applyFont="1" applyFill="1"/>
    <xf numFmtId="3" fontId="9" fillId="2" borderId="0" xfId="0" quotePrefix="1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9" fillId="5" borderId="0" xfId="0" applyNumberFormat="1" applyFont="1" applyFill="1" applyAlignment="1">
      <alignment horizontal="center"/>
    </xf>
    <xf numFmtId="3" fontId="9" fillId="11" borderId="0" xfId="0" applyNumberFormat="1" applyFont="1" applyFill="1" applyAlignment="1">
      <alignment horizontal="center"/>
    </xf>
    <xf numFmtId="3" fontId="9" fillId="1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14" borderId="0" xfId="0" applyFont="1" applyFill="1"/>
    <xf numFmtId="0" fontId="0" fillId="0" borderId="0" xfId="0" applyAlignment="1">
      <alignment horizontal="center"/>
    </xf>
    <xf numFmtId="0" fontId="0" fillId="16" borderId="0" xfId="0" applyFill="1" applyAlignment="1">
      <alignment vertical="center"/>
    </xf>
    <xf numFmtId="3" fontId="0" fillId="16" borderId="0" xfId="0" applyNumberFormat="1" applyFill="1"/>
    <xf numFmtId="3" fontId="9" fillId="16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/>
    </xf>
    <xf numFmtId="3" fontId="0" fillId="0" borderId="0" xfId="0" applyNumberFormat="1" applyFill="1"/>
    <xf numFmtId="0" fontId="0" fillId="15" borderId="0" xfId="0" applyFill="1" applyAlignment="1">
      <alignment vertical="center"/>
    </xf>
    <xf numFmtId="3" fontId="0" fillId="15" borderId="0" xfId="0" applyNumberFormat="1" applyFill="1"/>
    <xf numFmtId="3" fontId="9" fillId="15" borderId="0" xfId="0" applyNumberFormat="1" applyFont="1" applyFill="1" applyAlignment="1">
      <alignment horizontal="center"/>
    </xf>
    <xf numFmtId="0" fontId="0" fillId="17" borderId="0" xfId="0" applyFill="1" applyAlignment="1">
      <alignment vertical="center"/>
    </xf>
    <xf numFmtId="3" fontId="0" fillId="17" borderId="0" xfId="0" applyNumberFormat="1" applyFill="1"/>
    <xf numFmtId="3" fontId="9" fillId="17" borderId="0" xfId="0" applyNumberFormat="1" applyFont="1" applyFill="1" applyAlignment="1">
      <alignment horizontal="center"/>
    </xf>
    <xf numFmtId="0" fontId="0" fillId="6" borderId="0" xfId="0" applyFill="1" applyAlignment="1">
      <alignment vertical="center"/>
    </xf>
    <xf numFmtId="3" fontId="0" fillId="6" borderId="0" xfId="0" applyNumberFormat="1" applyFill="1"/>
    <xf numFmtId="3" fontId="9" fillId="6" borderId="0" xfId="0" applyNumberFormat="1" applyFont="1" applyFill="1" applyAlignment="1">
      <alignment horizontal="center"/>
    </xf>
    <xf numFmtId="0" fontId="0" fillId="6" borderId="0" xfId="0" applyFill="1"/>
    <xf numFmtId="0" fontId="9" fillId="6" borderId="0" xfId="0" applyFont="1" applyFill="1" applyAlignment="1">
      <alignment horizontal="center"/>
    </xf>
    <xf numFmtId="3" fontId="0" fillId="8" borderId="0" xfId="0" applyNumberFormat="1" applyFill="1"/>
    <xf numFmtId="169" fontId="0" fillId="8" borderId="0" xfId="0" applyNumberFormat="1" applyFill="1"/>
    <xf numFmtId="170" fontId="0" fillId="2" borderId="0" xfId="0" applyNumberFormat="1" applyFill="1"/>
    <xf numFmtId="170" fontId="0" fillId="0" borderId="0" xfId="0" applyNumberFormat="1"/>
    <xf numFmtId="170" fontId="2" fillId="4" borderId="0" xfId="0" applyNumberFormat="1" applyFont="1" applyFill="1"/>
    <xf numFmtId="170" fontId="2" fillId="13" borderId="0" xfId="0" applyNumberFormat="1" applyFont="1" applyFill="1"/>
    <xf numFmtId="167" fontId="0" fillId="8" borderId="0" xfId="0" applyNumberFormat="1" applyFill="1"/>
    <xf numFmtId="167" fontId="0" fillId="8" borderId="0" xfId="0" applyNumberFormat="1" applyFill="1" applyAlignment="1">
      <alignment horizontal="center"/>
    </xf>
    <xf numFmtId="170" fontId="0" fillId="0" borderId="0" xfId="0" applyNumberFormat="1" applyFill="1"/>
    <xf numFmtId="169" fontId="0" fillId="0" borderId="0" xfId="0" applyNumberFormat="1" applyFill="1"/>
    <xf numFmtId="167" fontId="0" fillId="0" borderId="0" xfId="0" applyNumberFormat="1" applyFill="1"/>
    <xf numFmtId="167" fontId="0" fillId="2" borderId="0" xfId="0" applyNumberFormat="1" applyFill="1"/>
    <xf numFmtId="3" fontId="0" fillId="0" borderId="0" xfId="0" applyNumberFormat="1"/>
    <xf numFmtId="0" fontId="1" fillId="2" borderId="0" xfId="0" applyFont="1" applyFill="1"/>
    <xf numFmtId="0" fontId="1" fillId="8" borderId="0" xfId="0" applyFont="1" applyFill="1"/>
    <xf numFmtId="167" fontId="4" fillId="0" borderId="0" xfId="0" applyNumberFormat="1" applyFont="1" applyFill="1"/>
    <xf numFmtId="4" fontId="0" fillId="0" borderId="0" xfId="0" applyNumberFormat="1" applyFill="1"/>
    <xf numFmtId="169" fontId="0" fillId="18" borderId="0" xfId="0" applyNumberFormat="1" applyFill="1"/>
    <xf numFmtId="169" fontId="3" fillId="0" borderId="0" xfId="0" applyNumberFormat="1" applyFont="1" applyFill="1"/>
    <xf numFmtId="167" fontId="3" fillId="0" borderId="0" xfId="0" applyNumberFormat="1" applyFont="1" applyFill="1"/>
    <xf numFmtId="167" fontId="0" fillId="8" borderId="0" xfId="0" applyNumberFormat="1" applyFill="1" applyAlignment="1">
      <alignment horizontal="right"/>
    </xf>
    <xf numFmtId="0" fontId="1" fillId="0" borderId="0" xfId="0" applyFont="1" applyFill="1"/>
    <xf numFmtId="0" fontId="4" fillId="0" borderId="0" xfId="0" applyFont="1"/>
    <xf numFmtId="0" fontId="10" fillId="0" borderId="0" xfId="0" applyFont="1" applyFill="1"/>
    <xf numFmtId="0" fontId="4" fillId="0" borderId="0" xfId="0" applyFont="1" applyAlignment="1">
      <alignment horizontal="center" vertical="center" wrapText="1"/>
    </xf>
    <xf numFmtId="0" fontId="0" fillId="2" borderId="0" xfId="0" applyFont="1" applyFill="1"/>
    <xf numFmtId="169" fontId="0" fillId="2" borderId="0" xfId="0" applyNumberFormat="1" applyFont="1" applyFill="1"/>
    <xf numFmtId="0" fontId="12" fillId="0" borderId="0" xfId="0" applyFont="1"/>
    <xf numFmtId="169" fontId="11" fillId="4" borderId="0" xfId="0" applyNumberFormat="1" applyFont="1" applyFill="1"/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center"/>
    </xf>
  </cellXfs>
  <cellStyles count="3">
    <cellStyle name="Comma 2" xfId="1"/>
    <cellStyle name="Currency 2" xfId="2"/>
    <cellStyle name="Standaard" xfId="0" builtinId="0"/>
  </cellStyles>
  <dxfs count="0"/>
  <tableStyles count="0" defaultTableStyle="TableStyleMedium2" defaultPivotStyle="PivotStyleLight16"/>
  <colors>
    <mruColors>
      <color rgb="FFECD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960120</xdr:colOff>
      <xdr:row>21</xdr:row>
      <xdr:rowOff>175260</xdr:rowOff>
    </xdr:from>
    <xdr:to>
      <xdr:col>4</xdr:col>
      <xdr:colOff>329685</xdr:colOff>
      <xdr:row>45</xdr:row>
      <xdr:rowOff>4938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" y="4015740"/>
          <a:ext cx="5785605" cy="421879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10</xdr:col>
      <xdr:colOff>53810</xdr:colOff>
      <xdr:row>41</xdr:row>
      <xdr:rowOff>140521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540000">
          <a:off x="7490460" y="4023360"/>
          <a:ext cx="5425910" cy="36152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ntstr02\home$\iopreel\My%20Documents\Kopie%20van%20Business%20Case%20Slimme%20MetersIO%20-%20delta%20anal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en"/>
      <sheetName val="Cijferm.uitwerking"/>
      <sheetName val="Grafisch"/>
      <sheetName val="ICT (input IO)"/>
      <sheetName val="Scen.overz.kost"/>
      <sheetName val="Case DWM (alleen)"/>
      <sheetName val="variabelen marijke"/>
      <sheetName val="Tijdshorizon scen. "/>
    </sheetNames>
    <sheetDataSet>
      <sheetData sheetId="0"/>
      <sheetData sheetId="1">
        <row r="3">
          <cell r="C3">
            <v>35312.5</v>
          </cell>
        </row>
      </sheetData>
      <sheetData sheetId="2"/>
      <sheetData sheetId="3"/>
      <sheetData sheetId="4"/>
      <sheetData sheetId="5"/>
      <sheetData sheetId="6">
        <row r="5">
          <cell r="B5">
            <v>2.2672566371681421E-3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9"/>
  <sheetViews>
    <sheetView tabSelected="1" zoomScaleNormal="100" workbookViewId="0">
      <selection activeCell="F23" sqref="F23"/>
    </sheetView>
  </sheetViews>
  <sheetFormatPr defaultRowHeight="14.4" x14ac:dyDescent="0.3"/>
  <cols>
    <col min="1" max="1" width="44.77734375" customWidth="1"/>
    <col min="2" max="2" width="18.88671875" bestFit="1" customWidth="1"/>
    <col min="3" max="3" width="15.5546875" bestFit="1" customWidth="1"/>
    <col min="4" max="4" width="14.33203125" customWidth="1"/>
    <col min="5" max="26" width="15.6640625" customWidth="1"/>
  </cols>
  <sheetData>
    <row r="2" spans="1:27" s="1" customFormat="1" x14ac:dyDescent="0.3">
      <c r="C2" s="4" t="s">
        <v>3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  <c r="K2" s="1">
        <v>2023</v>
      </c>
      <c r="L2" s="1">
        <v>2024</v>
      </c>
      <c r="M2" s="1">
        <v>2025</v>
      </c>
      <c r="N2" s="1">
        <v>2026</v>
      </c>
      <c r="O2" s="1">
        <v>2027</v>
      </c>
      <c r="P2" s="1">
        <v>2028</v>
      </c>
      <c r="Q2" s="1">
        <v>2029</v>
      </c>
      <c r="R2" s="1">
        <v>2030</v>
      </c>
      <c r="S2" s="1">
        <v>2031</v>
      </c>
      <c r="T2" s="1">
        <v>2032</v>
      </c>
      <c r="U2" s="1">
        <v>2033</v>
      </c>
      <c r="V2" s="1">
        <v>2034</v>
      </c>
      <c r="W2" s="1">
        <v>2035</v>
      </c>
      <c r="X2" s="1">
        <v>2036</v>
      </c>
      <c r="Y2" s="1">
        <v>2037</v>
      </c>
      <c r="Z2" s="1">
        <v>2038</v>
      </c>
    </row>
    <row r="3" spans="1:27" x14ac:dyDescent="0.3">
      <c r="A3" s="102" t="s">
        <v>100</v>
      </c>
      <c r="B3" s="71"/>
      <c r="C3" s="69">
        <v>3205750.1083616051</v>
      </c>
      <c r="D3" s="70" t="s">
        <v>4</v>
      </c>
      <c r="E3" s="69">
        <v>0</v>
      </c>
      <c r="F3" s="69">
        <v>2712.7412624028066</v>
      </c>
      <c r="G3" s="69">
        <v>65916.96504961123</v>
      </c>
      <c r="H3" s="69">
        <v>92327.629606344199</v>
      </c>
      <c r="I3" s="69">
        <v>103749.772443247</v>
      </c>
      <c r="J3" s="69">
        <v>52020</v>
      </c>
      <c r="K3" s="69">
        <v>363207.875</v>
      </c>
      <c r="L3" s="69">
        <v>363207.875</v>
      </c>
      <c r="M3" s="69">
        <v>363207.875</v>
      </c>
      <c r="N3" s="69">
        <v>363207.875</v>
      </c>
      <c r="O3" s="69">
        <v>354307.875</v>
      </c>
      <c r="P3" s="69">
        <v>354307.875</v>
      </c>
      <c r="Q3" s="69">
        <v>350307.875</v>
      </c>
      <c r="R3" s="69">
        <v>350307.875</v>
      </c>
      <c r="S3" s="69">
        <v>4120</v>
      </c>
      <c r="T3" s="69">
        <v>4120</v>
      </c>
      <c r="U3" s="69">
        <v>4120</v>
      </c>
      <c r="V3" s="69">
        <v>4120</v>
      </c>
      <c r="W3" s="69">
        <v>4120</v>
      </c>
      <c r="X3" s="69">
        <v>4120</v>
      </c>
      <c r="Y3" s="69">
        <v>4120</v>
      </c>
      <c r="Z3" s="69">
        <v>4120</v>
      </c>
    </row>
    <row r="4" spans="1:27" x14ac:dyDescent="0.3">
      <c r="B4" s="68" t="s">
        <v>88</v>
      </c>
      <c r="C4" s="71"/>
      <c r="D4" s="72" t="s">
        <v>6</v>
      </c>
      <c r="E4" s="69">
        <v>0</v>
      </c>
      <c r="F4" s="69">
        <v>2712.7412624028066</v>
      </c>
      <c r="G4" s="69">
        <v>68629.706312014037</v>
      </c>
      <c r="H4" s="69">
        <v>160957.33591835824</v>
      </c>
      <c r="I4" s="69">
        <v>264707.10836160521</v>
      </c>
      <c r="J4" s="69">
        <v>316727.10836160521</v>
      </c>
      <c r="K4" s="69">
        <v>679934.98336160521</v>
      </c>
      <c r="L4" s="69">
        <v>1043142.8583616052</v>
      </c>
      <c r="M4" s="69">
        <v>1406350.7333616051</v>
      </c>
      <c r="N4" s="69">
        <v>1769558.6083616051</v>
      </c>
      <c r="O4" s="69">
        <v>2123866.4833616051</v>
      </c>
      <c r="P4" s="69">
        <v>2478174.3583616051</v>
      </c>
      <c r="Q4" s="69">
        <v>2828482.2333616051</v>
      </c>
      <c r="R4" s="69">
        <v>3178790.1083616051</v>
      </c>
      <c r="S4" s="69">
        <v>3182910.1083616051</v>
      </c>
      <c r="T4" s="69">
        <v>3187030.1083616051</v>
      </c>
      <c r="U4" s="69">
        <v>3191150.1083616051</v>
      </c>
      <c r="V4" s="69">
        <v>3195270.1083616051</v>
      </c>
      <c r="W4" s="69">
        <v>3199390.1083616051</v>
      </c>
      <c r="X4" s="69">
        <v>3203510.1083616051</v>
      </c>
      <c r="Y4" s="69">
        <v>3207630.1083616051</v>
      </c>
      <c r="Z4" s="69">
        <v>3211750.1083616051</v>
      </c>
    </row>
    <row r="5" spans="1:27" x14ac:dyDescent="0.3">
      <c r="A5" s="95"/>
    </row>
    <row r="7" spans="1:27" s="1" customFormat="1" x14ac:dyDescent="0.3">
      <c r="C7" s="97"/>
      <c r="D7" s="1" t="s">
        <v>0</v>
      </c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1">
        <v>2022</v>
      </c>
      <c r="K7" s="1">
        <v>2023</v>
      </c>
      <c r="L7" s="1">
        <v>2024</v>
      </c>
      <c r="M7" s="1">
        <v>2025</v>
      </c>
      <c r="N7" s="1">
        <v>2026</v>
      </c>
      <c r="O7" s="1">
        <v>2027</v>
      </c>
      <c r="P7" s="1">
        <v>2028</v>
      </c>
      <c r="Q7" s="1">
        <v>2029</v>
      </c>
      <c r="R7" s="1">
        <v>2030</v>
      </c>
      <c r="S7" s="1">
        <v>2031</v>
      </c>
      <c r="T7" s="1">
        <v>2032</v>
      </c>
      <c r="U7" s="1">
        <v>2033</v>
      </c>
      <c r="V7" s="1">
        <v>2034</v>
      </c>
      <c r="W7" s="1">
        <v>2035</v>
      </c>
      <c r="X7" s="1">
        <v>2036</v>
      </c>
      <c r="Y7" s="1">
        <v>2037</v>
      </c>
      <c r="Z7" s="1">
        <v>2038</v>
      </c>
    </row>
    <row r="8" spans="1:27" x14ac:dyDescent="0.3">
      <c r="A8" s="41" t="s">
        <v>13</v>
      </c>
      <c r="B8" s="41"/>
      <c r="C8" s="41"/>
      <c r="D8" s="43">
        <v>380027197.24194664</v>
      </c>
      <c r="E8" s="101">
        <v>0</v>
      </c>
      <c r="F8" s="101">
        <v>25657.044711850082</v>
      </c>
      <c r="G8" s="101">
        <v>1412049.465133178</v>
      </c>
      <c r="H8" s="101">
        <v>2340087.0877713915</v>
      </c>
      <c r="I8" s="101">
        <v>3309089.0230670241</v>
      </c>
      <c r="J8" s="101">
        <v>3739200.1711335634</v>
      </c>
      <c r="K8" s="101">
        <v>6843741.6935478747</v>
      </c>
      <c r="L8" s="101">
        <v>9948283.2159621865</v>
      </c>
      <c r="M8" s="101">
        <v>13052824.738376496</v>
      </c>
      <c r="N8" s="101">
        <v>16157366.260790808</v>
      </c>
      <c r="O8" s="101">
        <v>19216466.662334256</v>
      </c>
      <c r="P8" s="101">
        <v>22275567.063877705</v>
      </c>
      <c r="Q8" s="101">
        <v>25296939.820789613</v>
      </c>
      <c r="R8" s="101">
        <v>28318312.577701516</v>
      </c>
      <c r="S8" s="101">
        <v>28361232.349788658</v>
      </c>
      <c r="T8" s="101">
        <v>28404152.1218758</v>
      </c>
      <c r="U8" s="101">
        <v>28447071.893962942</v>
      </c>
      <c r="V8" s="101">
        <v>28489991.666050084</v>
      </c>
      <c r="W8" s="101">
        <v>28532911.438137226</v>
      </c>
      <c r="X8" s="101">
        <v>28575831.210224368</v>
      </c>
      <c r="Y8" s="101">
        <v>28618750.982311502</v>
      </c>
      <c r="Z8" s="101">
        <v>28661670.754398648</v>
      </c>
    </row>
    <row r="9" spans="1:27" x14ac:dyDescent="0.3">
      <c r="A9" s="98" t="s">
        <v>93</v>
      </c>
      <c r="B9" s="98"/>
      <c r="C9" s="98"/>
      <c r="D9" s="99">
        <v>85065781.6258028</v>
      </c>
      <c r="E9" s="99">
        <v>0</v>
      </c>
      <c r="F9" s="99">
        <v>11225.044439942554</v>
      </c>
      <c r="G9" s="99">
        <v>323611.11568730668</v>
      </c>
      <c r="H9" s="99">
        <v>750945.95011204097</v>
      </c>
      <c r="I9" s="99">
        <v>1106915.3394653408</v>
      </c>
      <c r="J9" s="99">
        <v>1207814.9759089095</v>
      </c>
      <c r="K9" s="99">
        <v>1829054.8583440359</v>
      </c>
      <c r="L9" s="99">
        <v>2450294.7407791619</v>
      </c>
      <c r="M9" s="99">
        <v>3071534.6232142891</v>
      </c>
      <c r="N9" s="99">
        <v>3692774.5056494148</v>
      </c>
      <c r="O9" s="99">
        <v>4309198.8263730425</v>
      </c>
      <c r="P9" s="99">
        <v>4925623.1470966684</v>
      </c>
      <c r="Q9" s="99">
        <v>5525582.0459071649</v>
      </c>
      <c r="R9" s="99">
        <v>6125540.9447176615</v>
      </c>
      <c r="S9" s="99">
        <v>6145855.8877833979</v>
      </c>
      <c r="T9" s="99">
        <v>6166170.8308491362</v>
      </c>
      <c r="U9" s="99">
        <v>6186485.7739148727</v>
      </c>
      <c r="V9" s="99">
        <v>6206800.7169806091</v>
      </c>
      <c r="W9" s="99">
        <v>6227115.6600463465</v>
      </c>
      <c r="X9" s="99">
        <v>6247430.6031120829</v>
      </c>
      <c r="Y9" s="99">
        <v>6267745.5461778194</v>
      </c>
      <c r="Z9" s="99">
        <v>6288060.4892435577</v>
      </c>
      <c r="AA9" s="95"/>
    </row>
    <row r="10" spans="1:27" x14ac:dyDescent="0.3">
      <c r="A10" s="98" t="s">
        <v>14</v>
      </c>
      <c r="B10" s="98"/>
      <c r="C10" s="98"/>
      <c r="D10" s="99">
        <v>88694635.544134051</v>
      </c>
      <c r="E10" s="99">
        <v>0</v>
      </c>
      <c r="F10" s="99">
        <v>2662.1771738807984</v>
      </c>
      <c r="G10" s="99">
        <v>786808.40862868819</v>
      </c>
      <c r="H10" s="99">
        <v>882510.20085158618</v>
      </c>
      <c r="I10" s="99">
        <v>1022316.055509012</v>
      </c>
      <c r="J10" s="99">
        <v>1106742.1961529038</v>
      </c>
      <c r="K10" s="99">
        <v>1779911.4160100091</v>
      </c>
      <c r="L10" s="99">
        <v>2453080.6358671142</v>
      </c>
      <c r="M10" s="99">
        <v>3126249.8557242192</v>
      </c>
      <c r="N10" s="99">
        <v>3799419.0755813238</v>
      </c>
      <c r="O10" s="99">
        <v>4467455.2828304656</v>
      </c>
      <c r="P10" s="99">
        <v>5135491.4900796078</v>
      </c>
      <c r="Q10" s="99">
        <v>5799611.9484209837</v>
      </c>
      <c r="R10" s="99">
        <v>6463732.4067623578</v>
      </c>
      <c r="S10" s="99">
        <v>6468143.1051079985</v>
      </c>
      <c r="T10" s="99">
        <v>6472553.8034536382</v>
      </c>
      <c r="U10" s="99">
        <v>6476964.501799278</v>
      </c>
      <c r="V10" s="99">
        <v>6481375.2001449177</v>
      </c>
      <c r="W10" s="99">
        <v>6485785.8984905574</v>
      </c>
      <c r="X10" s="99">
        <v>6490196.5968361981</v>
      </c>
      <c r="Y10" s="99">
        <v>6494607.2951818379</v>
      </c>
      <c r="Z10" s="99">
        <v>6499017.9935274776</v>
      </c>
      <c r="AA10" s="100"/>
    </row>
    <row r="11" spans="1:27" x14ac:dyDescent="0.3">
      <c r="A11" s="98" t="s">
        <v>15</v>
      </c>
      <c r="B11" s="98"/>
      <c r="C11" s="98"/>
      <c r="D11" s="99">
        <v>201144032.07429898</v>
      </c>
      <c r="E11" s="99">
        <v>0</v>
      </c>
      <c r="F11" s="99">
        <v>11769.823098026727</v>
      </c>
      <c r="G11" s="99">
        <v>301629.94081718323</v>
      </c>
      <c r="H11" s="99">
        <v>706630.93680776423</v>
      </c>
      <c r="I11" s="99">
        <v>1175354.608206759</v>
      </c>
      <c r="J11" s="99">
        <v>1415636.9592999262</v>
      </c>
      <c r="K11" s="99">
        <v>3176117.9564049663</v>
      </c>
      <c r="L11" s="99">
        <v>4936598.9535100069</v>
      </c>
      <c r="M11" s="99">
        <v>6697079.9506150465</v>
      </c>
      <c r="N11" s="99">
        <v>8457560.9477200881</v>
      </c>
      <c r="O11" s="99">
        <v>10182549.398273727</v>
      </c>
      <c r="P11" s="99">
        <v>11907537.848827373</v>
      </c>
      <c r="Q11" s="99">
        <v>13615179.825570365</v>
      </c>
      <c r="R11" s="99">
        <v>15322821.802313359</v>
      </c>
      <c r="S11" s="99">
        <v>15341015.932989124</v>
      </c>
      <c r="T11" s="99">
        <v>15359210.063664889</v>
      </c>
      <c r="U11" s="99">
        <v>15377404.194340654</v>
      </c>
      <c r="V11" s="99">
        <v>15395598.325016418</v>
      </c>
      <c r="W11" s="99">
        <v>15413792.455692183</v>
      </c>
      <c r="X11" s="99">
        <v>15431986.586367948</v>
      </c>
      <c r="Y11" s="99">
        <v>15450180.717043711</v>
      </c>
      <c r="Z11" s="99">
        <v>15468374.847719476</v>
      </c>
      <c r="AA11" s="100"/>
    </row>
    <row r="12" spans="1:27" x14ac:dyDescent="0.3">
      <c r="A12" s="98" t="s">
        <v>16</v>
      </c>
      <c r="B12" s="98"/>
      <c r="C12" s="98"/>
      <c r="D12" s="99">
        <v>5122747.9977108352</v>
      </c>
      <c r="E12" s="99">
        <v>0</v>
      </c>
      <c r="F12" s="99">
        <v>0</v>
      </c>
      <c r="G12" s="99">
        <v>0</v>
      </c>
      <c r="H12" s="99">
        <v>0</v>
      </c>
      <c r="I12" s="99">
        <v>4503.019885912171</v>
      </c>
      <c r="J12" s="99">
        <v>9006.0397718243421</v>
      </c>
      <c r="K12" s="99">
        <v>58657.46278886342</v>
      </c>
      <c r="L12" s="99">
        <v>108308.88580590249</v>
      </c>
      <c r="M12" s="99">
        <v>157960.30882294156</v>
      </c>
      <c r="N12" s="99">
        <v>207611.73183998061</v>
      </c>
      <c r="O12" s="99">
        <v>257263.15485701975</v>
      </c>
      <c r="P12" s="99">
        <v>306914.5778740588</v>
      </c>
      <c r="Q12" s="99">
        <v>356566.00089109788</v>
      </c>
      <c r="R12" s="99">
        <v>406217.42390813696</v>
      </c>
      <c r="S12" s="99">
        <v>406217.42390813696</v>
      </c>
      <c r="T12" s="99">
        <v>406217.42390813696</v>
      </c>
      <c r="U12" s="99">
        <v>406217.42390813696</v>
      </c>
      <c r="V12" s="99">
        <v>406217.42390813696</v>
      </c>
      <c r="W12" s="99">
        <v>406217.42390813696</v>
      </c>
      <c r="X12" s="99">
        <v>406217.42390813696</v>
      </c>
      <c r="Y12" s="99">
        <v>406217.42390813696</v>
      </c>
      <c r="Z12" s="99">
        <v>406217.42390813696</v>
      </c>
      <c r="AA12" s="100"/>
    </row>
    <row r="14" spans="1:27" x14ac:dyDescent="0.3">
      <c r="A14" s="41" t="s">
        <v>17</v>
      </c>
      <c r="B14" s="41"/>
      <c r="C14" s="41"/>
      <c r="D14" s="43">
        <v>-408656279.99833012</v>
      </c>
      <c r="E14" s="101">
        <v>0</v>
      </c>
      <c r="F14" s="101">
        <v>-318624.57676740031</v>
      </c>
      <c r="G14" s="101">
        <v>-8240194.1491697663</v>
      </c>
      <c r="H14" s="101">
        <v>-11947810.650786739</v>
      </c>
      <c r="I14" s="101">
        <v>-16901492.597100236</v>
      </c>
      <c r="J14" s="101">
        <v>-10702035.850169297</v>
      </c>
      <c r="K14" s="101">
        <v>-15338433.429962989</v>
      </c>
      <c r="L14" s="101">
        <v>-14847580.194872431</v>
      </c>
      <c r="M14" s="101">
        <v>-18802527.39718949</v>
      </c>
      <c r="N14" s="101">
        <v>-21351674.162098937</v>
      </c>
      <c r="O14" s="101">
        <v>-23246909.089109823</v>
      </c>
      <c r="P14" s="101">
        <v>-25747253.602511089</v>
      </c>
      <c r="Q14" s="101">
        <v>-27766865.222346187</v>
      </c>
      <c r="R14" s="101">
        <v>-30976055.002482355</v>
      </c>
      <c r="S14" s="101">
        <v>-22801562.424867544</v>
      </c>
      <c r="T14" s="101">
        <v>-22821336.848502725</v>
      </c>
      <c r="U14" s="101">
        <v>-22841111.272137903</v>
      </c>
      <c r="V14" s="101">
        <v>-22860885.695773084</v>
      </c>
      <c r="W14" s="101">
        <v>-22880660.119408268</v>
      </c>
      <c r="X14" s="101">
        <v>-22900434.543043453</v>
      </c>
      <c r="Y14" s="101">
        <v>-22754422.571024608</v>
      </c>
      <c r="Z14" s="101">
        <v>-22608410.599005766</v>
      </c>
    </row>
    <row r="15" spans="1:27" x14ac:dyDescent="0.3">
      <c r="A15" s="98" t="s">
        <v>18</v>
      </c>
      <c r="B15" s="98"/>
      <c r="C15" s="98"/>
      <c r="D15" s="99">
        <v>-116964151.92283787</v>
      </c>
      <c r="E15" s="99">
        <v>0</v>
      </c>
      <c r="F15" s="99">
        <v>-305269.40362469689</v>
      </c>
      <c r="G15" s="99">
        <v>-7908494.1570694651</v>
      </c>
      <c r="H15" s="99">
        <v>-11168625.045469012</v>
      </c>
      <c r="I15" s="99">
        <v>-15272070.701980468</v>
      </c>
      <c r="J15" s="99">
        <v>-8570660.7805009671</v>
      </c>
      <c r="K15" s="99">
        <v>-10657911.595385212</v>
      </c>
      <c r="L15" s="99">
        <v>-7617911.5953852125</v>
      </c>
      <c r="M15" s="99">
        <v>-9023712.0327928253</v>
      </c>
      <c r="N15" s="99">
        <v>-9023712.0327928253</v>
      </c>
      <c r="O15" s="99">
        <v>-8418602.4464024343</v>
      </c>
      <c r="P15" s="99">
        <v>-8418602.4464024343</v>
      </c>
      <c r="Q15" s="99">
        <v>-7957575.4878918137</v>
      </c>
      <c r="R15" s="99">
        <v>-8686126.6896822732</v>
      </c>
      <c r="S15" s="99">
        <v>-491859.68843227328</v>
      </c>
      <c r="T15" s="99">
        <v>-491859.68843227328</v>
      </c>
      <c r="U15" s="99">
        <v>-491859.68843227328</v>
      </c>
      <c r="V15" s="99">
        <v>-491859.68843227328</v>
      </c>
      <c r="W15" s="99">
        <v>-491859.68843227328</v>
      </c>
      <c r="X15" s="99">
        <v>-491859.68843227328</v>
      </c>
      <c r="Y15" s="99">
        <v>-491859.68843227328</v>
      </c>
      <c r="Z15" s="99">
        <v>-491859.68843227328</v>
      </c>
      <c r="AA15" s="95"/>
    </row>
    <row r="16" spans="1:27" x14ac:dyDescent="0.3">
      <c r="A16" s="98" t="s">
        <v>19</v>
      </c>
      <c r="B16" s="98"/>
      <c r="C16" s="98"/>
      <c r="D16" s="99">
        <v>-291692128.07549226</v>
      </c>
      <c r="E16" s="99">
        <v>0</v>
      </c>
      <c r="F16" s="99">
        <v>-13355.17314270343</v>
      </c>
      <c r="G16" s="99">
        <v>-331699.99210030132</v>
      </c>
      <c r="H16" s="99">
        <v>-779185.60531772627</v>
      </c>
      <c r="I16" s="99">
        <v>-1629421.8951197658</v>
      </c>
      <c r="J16" s="99">
        <v>-2131375.0696683307</v>
      </c>
      <c r="K16" s="99">
        <v>-4680521.8345777756</v>
      </c>
      <c r="L16" s="99">
        <v>-7229668.5994872199</v>
      </c>
      <c r="M16" s="99">
        <v>-9778815.3643966634</v>
      </c>
      <c r="N16" s="99">
        <v>-12327962.129306111</v>
      </c>
      <c r="O16" s="99">
        <v>-14828306.642707387</v>
      </c>
      <c r="P16" s="99">
        <v>-17328651.156108655</v>
      </c>
      <c r="Q16" s="99">
        <v>-19809289.734454375</v>
      </c>
      <c r="R16" s="99">
        <v>-22289928.312800083</v>
      </c>
      <c r="S16" s="99">
        <v>-22309702.736435272</v>
      </c>
      <c r="T16" s="99">
        <v>-22329477.160070453</v>
      </c>
      <c r="U16" s="99">
        <v>-22349251.58370563</v>
      </c>
      <c r="V16" s="99">
        <v>-22369026.007340811</v>
      </c>
      <c r="W16" s="99">
        <v>-22388800.430975996</v>
      </c>
      <c r="X16" s="99">
        <v>-22408574.854611181</v>
      </c>
      <c r="Y16" s="99">
        <v>-22262562.882592335</v>
      </c>
      <c r="Z16" s="99">
        <v>-22116550.910573494</v>
      </c>
      <c r="AA16" s="95"/>
    </row>
    <row r="18" spans="1:26" x14ac:dyDescent="0.3">
      <c r="A18" s="45" t="s">
        <v>12</v>
      </c>
      <c r="B18" s="45"/>
      <c r="C18" s="45"/>
      <c r="D18" s="46">
        <v>-28629082.756383479</v>
      </c>
      <c r="E18" s="46">
        <v>0</v>
      </c>
      <c r="F18" s="46">
        <v>-292967.53205555025</v>
      </c>
      <c r="G18" s="46">
        <v>-6828144.6840365883</v>
      </c>
      <c r="H18" s="46">
        <v>-9607723.5630153473</v>
      </c>
      <c r="I18" s="46">
        <v>-13592403.574033212</v>
      </c>
      <c r="J18" s="46">
        <v>-6962835.6790357344</v>
      </c>
      <c r="K18" s="46">
        <v>-8494691.7364151143</v>
      </c>
      <c r="L18" s="46">
        <v>-4899296.978910245</v>
      </c>
      <c r="M18" s="46">
        <v>-5749702.6588129941</v>
      </c>
      <c r="N18" s="46">
        <v>-5194307.9013081286</v>
      </c>
      <c r="O18" s="46">
        <v>-4030442.4267755672</v>
      </c>
      <c r="P18" s="46">
        <v>-3471686.5386333838</v>
      </c>
      <c r="Q18" s="46">
        <v>-2469925.4015565738</v>
      </c>
      <c r="R18" s="46">
        <v>-2657742.4247808382</v>
      </c>
      <c r="S18" s="46">
        <v>5559669.924921114</v>
      </c>
      <c r="T18" s="46">
        <v>5582815.2733730748</v>
      </c>
      <c r="U18" s="46">
        <v>5605960.6218250394</v>
      </c>
      <c r="V18" s="46">
        <v>5629105.9702770002</v>
      </c>
      <c r="W18" s="46">
        <v>5652251.3187289573</v>
      </c>
      <c r="X18" s="46">
        <v>5675396.6671809144</v>
      </c>
      <c r="Y18" s="46">
        <v>5864328.4112868942</v>
      </c>
      <c r="Z18" s="46">
        <v>6053260.1553928815</v>
      </c>
    </row>
    <row r="19" spans="1:26" x14ac:dyDescent="0.3">
      <c r="B19" s="40" t="s">
        <v>92</v>
      </c>
      <c r="D19" s="5">
        <v>-0.55815881206924511</v>
      </c>
    </row>
    <row r="22" spans="1:26" x14ac:dyDescent="0.3">
      <c r="A22" s="95"/>
      <c r="E22" s="95"/>
      <c r="F22" s="95"/>
      <c r="H22" s="29"/>
      <c r="L22" s="95"/>
    </row>
    <row r="23" spans="1:26" x14ac:dyDescent="0.3">
      <c r="H23" s="29"/>
    </row>
    <row r="49" spans="1:6" x14ac:dyDescent="0.3">
      <c r="A49" s="95"/>
      <c r="F49" s="9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A621"/>
  <sheetViews>
    <sheetView workbookViewId="0">
      <pane ySplit="2" topLeftCell="A185" activePane="bottomLeft" state="frozen"/>
      <selection activeCell="B20" sqref="B20"/>
      <selection pane="bottomLeft" activeCell="F194" sqref="F194"/>
    </sheetView>
  </sheetViews>
  <sheetFormatPr defaultRowHeight="14.4" outlineLevelRow="1" x14ac:dyDescent="0.3"/>
  <cols>
    <col min="1" max="1" width="47" bestFit="1" customWidth="1"/>
    <col min="2" max="2" width="20.6640625" customWidth="1"/>
    <col min="3" max="3" width="15.44140625" customWidth="1"/>
    <col min="4" max="4" width="18.6640625" bestFit="1" customWidth="1"/>
    <col min="5" max="26" width="15.6640625" customWidth="1"/>
    <col min="27" max="27" width="13.88671875" bestFit="1" customWidth="1"/>
  </cols>
  <sheetData>
    <row r="2" spans="1:27" s="1" customFormat="1" x14ac:dyDescent="0.3">
      <c r="A2" s="1" t="s">
        <v>2</v>
      </c>
      <c r="C2" s="4" t="s">
        <v>3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  <c r="K2" s="1">
        <v>2023</v>
      </c>
      <c r="L2" s="1">
        <v>2024</v>
      </c>
      <c r="M2" s="1">
        <v>2025</v>
      </c>
      <c r="N2" s="1">
        <v>2026</v>
      </c>
      <c r="O2" s="1">
        <v>2027</v>
      </c>
      <c r="P2" s="1">
        <v>2028</v>
      </c>
      <c r="Q2" s="1">
        <v>2029</v>
      </c>
      <c r="R2" s="1">
        <v>2030</v>
      </c>
      <c r="S2" s="1">
        <v>2031</v>
      </c>
      <c r="T2" s="1">
        <v>2032</v>
      </c>
      <c r="U2" s="1">
        <v>2033</v>
      </c>
      <c r="V2" s="1">
        <v>2034</v>
      </c>
      <c r="W2" s="1">
        <v>2035</v>
      </c>
      <c r="X2" s="1">
        <v>2036</v>
      </c>
      <c r="Y2" s="1">
        <v>2037</v>
      </c>
      <c r="Z2" s="1">
        <v>2038</v>
      </c>
    </row>
    <row r="3" spans="1:27" x14ac:dyDescent="0.3">
      <c r="A3" s="54" t="s">
        <v>1</v>
      </c>
      <c r="B3" s="30"/>
      <c r="C3" s="31">
        <v>599344</v>
      </c>
      <c r="D3" s="47" t="s">
        <v>4</v>
      </c>
      <c r="E3" s="31">
        <v>0</v>
      </c>
      <c r="F3" s="31">
        <v>0</v>
      </c>
      <c r="G3" s="31">
        <v>0</v>
      </c>
      <c r="H3" s="31">
        <v>0</v>
      </c>
      <c r="I3" s="31">
        <v>7000</v>
      </c>
      <c r="J3" s="31">
        <v>7000</v>
      </c>
      <c r="K3" s="31">
        <v>73168</v>
      </c>
      <c r="L3" s="31">
        <v>73168</v>
      </c>
      <c r="M3" s="31">
        <v>73168</v>
      </c>
      <c r="N3" s="31">
        <v>73168</v>
      </c>
      <c r="O3" s="31">
        <v>73168</v>
      </c>
      <c r="P3" s="31">
        <v>73168</v>
      </c>
      <c r="Q3" s="31">
        <v>73168</v>
      </c>
      <c r="R3" s="31">
        <v>73168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</row>
    <row r="4" spans="1:27" x14ac:dyDescent="0.3">
      <c r="B4" s="30" t="s">
        <v>5</v>
      </c>
      <c r="C4" s="31"/>
      <c r="D4" s="48" t="s">
        <v>6</v>
      </c>
      <c r="E4" s="31">
        <v>0</v>
      </c>
      <c r="F4" s="31">
        <v>0</v>
      </c>
      <c r="G4" s="31">
        <v>0</v>
      </c>
      <c r="H4" s="31">
        <v>0</v>
      </c>
      <c r="I4" s="31">
        <v>7000</v>
      </c>
      <c r="J4" s="31">
        <v>14000</v>
      </c>
      <c r="K4" s="31">
        <v>87168</v>
      </c>
      <c r="L4" s="31">
        <v>160336</v>
      </c>
      <c r="M4" s="31">
        <v>233504</v>
      </c>
      <c r="N4" s="31">
        <v>306672</v>
      </c>
      <c r="O4" s="31">
        <v>379840</v>
      </c>
      <c r="P4" s="31">
        <v>453008</v>
      </c>
      <c r="Q4" s="31">
        <v>526176</v>
      </c>
      <c r="R4" s="31">
        <v>599344</v>
      </c>
      <c r="S4" s="31">
        <v>599344</v>
      </c>
      <c r="T4" s="31">
        <v>599344</v>
      </c>
      <c r="U4" s="31">
        <v>599344</v>
      </c>
      <c r="V4" s="31">
        <v>599344</v>
      </c>
      <c r="W4" s="31">
        <v>599344</v>
      </c>
      <c r="X4" s="31">
        <v>599344</v>
      </c>
      <c r="Y4" s="31">
        <v>599344</v>
      </c>
      <c r="Z4" s="31">
        <v>599344</v>
      </c>
    </row>
    <row r="5" spans="1:27" x14ac:dyDescent="0.3">
      <c r="A5" s="85"/>
      <c r="B5" s="32"/>
      <c r="C5" s="33">
        <v>1518479</v>
      </c>
      <c r="D5" s="49" t="s">
        <v>4</v>
      </c>
      <c r="E5" s="33">
        <v>0</v>
      </c>
      <c r="F5" s="33">
        <v>0</v>
      </c>
      <c r="G5" s="33">
        <v>0</v>
      </c>
      <c r="H5" s="33">
        <v>0</v>
      </c>
      <c r="I5" s="33">
        <v>20000</v>
      </c>
      <c r="J5" s="33">
        <v>20000</v>
      </c>
      <c r="K5" s="33">
        <v>184809.875</v>
      </c>
      <c r="L5" s="33">
        <v>184809.875</v>
      </c>
      <c r="M5" s="33">
        <v>184809.875</v>
      </c>
      <c r="N5" s="33">
        <v>184809.875</v>
      </c>
      <c r="O5" s="33">
        <v>184809.875</v>
      </c>
      <c r="P5" s="33">
        <v>184809.875</v>
      </c>
      <c r="Q5" s="33">
        <v>184809.875</v>
      </c>
      <c r="R5" s="33">
        <v>184809.875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</row>
    <row r="6" spans="1:27" x14ac:dyDescent="0.3">
      <c r="A6" s="85"/>
      <c r="B6" s="32" t="s">
        <v>7</v>
      </c>
      <c r="C6" s="33"/>
      <c r="D6" s="49" t="s">
        <v>6</v>
      </c>
      <c r="E6" s="33">
        <v>0</v>
      </c>
      <c r="F6" s="33">
        <v>0</v>
      </c>
      <c r="G6" s="33">
        <v>0</v>
      </c>
      <c r="H6" s="33">
        <v>0</v>
      </c>
      <c r="I6" s="33">
        <v>20000</v>
      </c>
      <c r="J6" s="33">
        <v>40000</v>
      </c>
      <c r="K6" s="33">
        <v>224809.875</v>
      </c>
      <c r="L6" s="33">
        <v>409619.75</v>
      </c>
      <c r="M6" s="33">
        <v>594429.625</v>
      </c>
      <c r="N6" s="33">
        <v>779239.5</v>
      </c>
      <c r="O6" s="33">
        <v>964049.375</v>
      </c>
      <c r="P6" s="33">
        <v>1148859.25</v>
      </c>
      <c r="Q6" s="33">
        <v>1333669.125</v>
      </c>
      <c r="R6" s="33">
        <v>1518479</v>
      </c>
      <c r="S6" s="33">
        <v>1518479</v>
      </c>
      <c r="T6" s="33">
        <v>1518479</v>
      </c>
      <c r="U6" s="33">
        <v>1518479</v>
      </c>
      <c r="V6" s="33">
        <v>1518479</v>
      </c>
      <c r="W6" s="33">
        <v>1518479</v>
      </c>
      <c r="X6" s="33">
        <v>1518479</v>
      </c>
      <c r="Y6" s="33">
        <v>1518479</v>
      </c>
      <c r="Z6" s="33">
        <v>1518479</v>
      </c>
    </row>
    <row r="7" spans="1:27" x14ac:dyDescent="0.3">
      <c r="A7" s="85"/>
      <c r="B7" s="34"/>
      <c r="C7" s="35">
        <v>721680</v>
      </c>
      <c r="D7" s="50" t="s">
        <v>4</v>
      </c>
      <c r="E7" s="35">
        <v>0</v>
      </c>
      <c r="F7" s="35">
        <v>0</v>
      </c>
      <c r="G7" s="35">
        <v>0</v>
      </c>
      <c r="H7" s="35">
        <v>0</v>
      </c>
      <c r="I7" s="35">
        <v>8000</v>
      </c>
      <c r="J7" s="35">
        <v>8000</v>
      </c>
      <c r="K7" s="35">
        <v>88210</v>
      </c>
      <c r="L7" s="35">
        <v>88210</v>
      </c>
      <c r="M7" s="35">
        <v>88210</v>
      </c>
      <c r="N7" s="35">
        <v>88210</v>
      </c>
      <c r="O7" s="35">
        <v>88210</v>
      </c>
      <c r="P7" s="35">
        <v>88210</v>
      </c>
      <c r="Q7" s="35">
        <v>88210</v>
      </c>
      <c r="R7" s="35">
        <v>88210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</row>
    <row r="8" spans="1:27" x14ac:dyDescent="0.3">
      <c r="A8" s="85"/>
      <c r="B8" s="34" t="s">
        <v>8</v>
      </c>
      <c r="C8" s="35"/>
      <c r="D8" s="50" t="s">
        <v>6</v>
      </c>
      <c r="E8" s="35">
        <v>0</v>
      </c>
      <c r="F8" s="35">
        <v>0</v>
      </c>
      <c r="G8" s="35">
        <v>0</v>
      </c>
      <c r="H8" s="35">
        <v>0</v>
      </c>
      <c r="I8" s="35">
        <v>8000</v>
      </c>
      <c r="J8" s="35">
        <v>16000</v>
      </c>
      <c r="K8" s="35">
        <v>104210</v>
      </c>
      <c r="L8" s="35">
        <v>192420</v>
      </c>
      <c r="M8" s="35">
        <v>280630</v>
      </c>
      <c r="N8" s="35">
        <v>368840</v>
      </c>
      <c r="O8" s="35">
        <v>457050</v>
      </c>
      <c r="P8" s="35">
        <v>545260</v>
      </c>
      <c r="Q8" s="35">
        <v>633470</v>
      </c>
      <c r="R8" s="35">
        <v>721680</v>
      </c>
      <c r="S8" s="35">
        <v>721680</v>
      </c>
      <c r="T8" s="35">
        <v>721680</v>
      </c>
      <c r="U8" s="35">
        <v>721680</v>
      </c>
      <c r="V8" s="35">
        <v>721680</v>
      </c>
      <c r="W8" s="35">
        <v>721680</v>
      </c>
      <c r="X8" s="35">
        <v>721680</v>
      </c>
      <c r="Y8" s="35">
        <v>721680</v>
      </c>
      <c r="Z8" s="35">
        <v>721680</v>
      </c>
    </row>
    <row r="9" spans="1:27" x14ac:dyDescent="0.3">
      <c r="B9" s="36"/>
      <c r="C9" s="37">
        <v>2839503</v>
      </c>
      <c r="D9" s="51" t="s">
        <v>4</v>
      </c>
      <c r="E9" s="37">
        <v>0</v>
      </c>
      <c r="F9" s="37">
        <v>0</v>
      </c>
      <c r="G9" s="37">
        <v>0</v>
      </c>
      <c r="H9" s="37">
        <v>0</v>
      </c>
      <c r="I9" s="37">
        <v>35000</v>
      </c>
      <c r="J9" s="37">
        <v>35000</v>
      </c>
      <c r="K9" s="37">
        <v>346187.875</v>
      </c>
      <c r="L9" s="37">
        <v>346187.875</v>
      </c>
      <c r="M9" s="37">
        <v>346187.875</v>
      </c>
      <c r="N9" s="37">
        <v>346187.875</v>
      </c>
      <c r="O9" s="37">
        <v>346187.875</v>
      </c>
      <c r="P9" s="37">
        <v>346187.875</v>
      </c>
      <c r="Q9" s="37">
        <v>346187.875</v>
      </c>
      <c r="R9" s="37">
        <v>346187.875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</row>
    <row r="10" spans="1:27" x14ac:dyDescent="0.3">
      <c r="B10" s="36" t="s">
        <v>85</v>
      </c>
      <c r="C10" s="37"/>
      <c r="D10" s="51" t="s">
        <v>6</v>
      </c>
      <c r="E10" s="37">
        <v>0</v>
      </c>
      <c r="F10" s="37">
        <v>0</v>
      </c>
      <c r="G10" s="37">
        <v>0</v>
      </c>
      <c r="H10" s="37">
        <v>0</v>
      </c>
      <c r="I10" s="37">
        <v>35000</v>
      </c>
      <c r="J10" s="37">
        <v>70000</v>
      </c>
      <c r="K10" s="37">
        <v>416187.875</v>
      </c>
      <c r="L10" s="37">
        <v>762375.75</v>
      </c>
      <c r="M10" s="37">
        <v>1108563.625</v>
      </c>
      <c r="N10" s="37">
        <v>1454751.5</v>
      </c>
      <c r="O10" s="37">
        <v>1800939.375</v>
      </c>
      <c r="P10" s="37">
        <v>2147127.25</v>
      </c>
      <c r="Q10" s="37">
        <v>2493315.125</v>
      </c>
      <c r="R10" s="37">
        <v>2839503</v>
      </c>
      <c r="S10" s="37">
        <v>2839503</v>
      </c>
      <c r="T10" s="37">
        <v>2839503</v>
      </c>
      <c r="U10" s="37">
        <v>2839503</v>
      </c>
      <c r="V10" s="37">
        <v>2839503</v>
      </c>
      <c r="W10" s="37">
        <v>2839503</v>
      </c>
      <c r="X10" s="37">
        <v>2839503</v>
      </c>
      <c r="Y10" s="37">
        <v>2839503</v>
      </c>
      <c r="Z10" s="37">
        <v>2839503</v>
      </c>
    </row>
    <row r="11" spans="1:27" x14ac:dyDescent="0.3">
      <c r="B11" s="38"/>
      <c r="C11" s="6">
        <v>1353224.0145139501</v>
      </c>
      <c r="D11" s="52" t="s">
        <v>4</v>
      </c>
      <c r="E11" s="6">
        <v>0</v>
      </c>
      <c r="F11" s="6">
        <v>0</v>
      </c>
      <c r="G11" s="6">
        <v>0</v>
      </c>
      <c r="H11" s="6">
        <v>0</v>
      </c>
      <c r="I11" s="6">
        <v>35000</v>
      </c>
      <c r="J11" s="6">
        <v>35000</v>
      </c>
      <c r="K11" s="6">
        <v>346187.875</v>
      </c>
      <c r="L11" s="6">
        <v>346187.875</v>
      </c>
      <c r="M11" s="6">
        <v>118169.65290278928</v>
      </c>
      <c r="N11" s="6">
        <v>118169.65290278928</v>
      </c>
      <c r="O11" s="6">
        <v>118169.65290278928</v>
      </c>
      <c r="P11" s="6">
        <v>118169.65290278928</v>
      </c>
      <c r="Q11" s="6">
        <v>118169.65290278928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7" x14ac:dyDescent="0.3">
      <c r="B12" s="38" t="s">
        <v>9</v>
      </c>
      <c r="C12" s="39"/>
      <c r="D12" s="53" t="s">
        <v>6</v>
      </c>
      <c r="E12" s="6">
        <v>0</v>
      </c>
      <c r="F12" s="6">
        <v>0</v>
      </c>
      <c r="G12" s="6">
        <v>0</v>
      </c>
      <c r="H12" s="6">
        <v>0</v>
      </c>
      <c r="I12" s="6">
        <v>35000</v>
      </c>
      <c r="J12" s="6">
        <v>70000</v>
      </c>
      <c r="K12" s="6">
        <v>416187.875</v>
      </c>
      <c r="L12" s="6">
        <v>762375.75</v>
      </c>
      <c r="M12" s="6">
        <v>880545.4029027893</v>
      </c>
      <c r="N12" s="6">
        <v>998715.0558055786</v>
      </c>
      <c r="O12" s="6">
        <v>1116884.7087083678</v>
      </c>
      <c r="P12" s="6">
        <v>1235054.361611157</v>
      </c>
      <c r="Q12" s="6">
        <v>1353224.0145139461</v>
      </c>
      <c r="R12" s="6">
        <v>1353224.0145139461</v>
      </c>
      <c r="S12" s="6">
        <v>1353224.0145139461</v>
      </c>
      <c r="T12" s="6">
        <v>1353224.0145139461</v>
      </c>
      <c r="U12" s="6">
        <v>1353224.0145139461</v>
      </c>
      <c r="V12" s="6">
        <v>1353224.0145139461</v>
      </c>
      <c r="W12" s="6">
        <v>1353224.0145139461</v>
      </c>
      <c r="X12" s="6">
        <v>1353224.0145139461</v>
      </c>
      <c r="Y12" s="6">
        <v>1353224.0145139461</v>
      </c>
      <c r="Z12" s="6">
        <v>1353224.0145139461</v>
      </c>
    </row>
    <row r="13" spans="1:27" s="40" customFormat="1" x14ac:dyDescent="0.3">
      <c r="A13" s="89"/>
      <c r="B13" s="59"/>
      <c r="D13" s="60"/>
      <c r="E13" s="61"/>
      <c r="F13" s="61"/>
      <c r="G13" s="73">
        <v>4120</v>
      </c>
      <c r="H13" s="73">
        <v>4120</v>
      </c>
      <c r="I13" s="73">
        <v>4120</v>
      </c>
      <c r="J13" s="73">
        <v>4120</v>
      </c>
      <c r="K13" s="73">
        <v>4120</v>
      </c>
      <c r="L13" s="73">
        <v>4120</v>
      </c>
      <c r="M13" s="73">
        <v>4120</v>
      </c>
      <c r="N13" s="73">
        <v>4120</v>
      </c>
      <c r="O13" s="73">
        <v>4120</v>
      </c>
      <c r="P13" s="73">
        <v>4120</v>
      </c>
      <c r="Q13" s="73">
        <v>4120</v>
      </c>
      <c r="R13" s="73">
        <v>4120</v>
      </c>
      <c r="S13" s="73">
        <v>4120</v>
      </c>
      <c r="T13" s="73">
        <v>4120</v>
      </c>
      <c r="U13" s="73">
        <v>4120</v>
      </c>
      <c r="V13" s="73">
        <v>4120</v>
      </c>
      <c r="W13" s="73">
        <v>4120</v>
      </c>
      <c r="X13" s="73">
        <v>4120</v>
      </c>
      <c r="Y13" s="73">
        <v>4120</v>
      </c>
      <c r="Z13" s="73">
        <v>4120</v>
      </c>
    </row>
    <row r="14" spans="1:27" x14ac:dyDescent="0.3">
      <c r="B14" s="56"/>
      <c r="C14" s="57">
        <f>SUM(E14:Z14)</f>
        <v>272232.10836160521</v>
      </c>
      <c r="D14" s="58" t="s">
        <v>4</v>
      </c>
      <c r="E14" s="57">
        <v>0</v>
      </c>
      <c r="F14" s="57">
        <v>2222.7412624028066</v>
      </c>
      <c r="G14" s="57">
        <v>63037.96504961123</v>
      </c>
      <c r="H14" s="57">
        <v>81081.629606344199</v>
      </c>
      <c r="I14" s="57">
        <v>55849.772443247006</v>
      </c>
      <c r="J14" s="57">
        <v>4120</v>
      </c>
      <c r="K14" s="57">
        <v>4120</v>
      </c>
      <c r="L14" s="57">
        <v>4120</v>
      </c>
      <c r="M14" s="57">
        <v>4120</v>
      </c>
      <c r="N14" s="57">
        <v>4120</v>
      </c>
      <c r="O14" s="57">
        <v>4120</v>
      </c>
      <c r="P14" s="57">
        <v>4120</v>
      </c>
      <c r="Q14" s="57">
        <v>4120</v>
      </c>
      <c r="R14" s="57">
        <v>4120</v>
      </c>
      <c r="S14" s="57">
        <v>4120</v>
      </c>
      <c r="T14" s="57">
        <v>4120</v>
      </c>
      <c r="U14" s="57">
        <v>4120</v>
      </c>
      <c r="V14" s="57">
        <v>4120</v>
      </c>
      <c r="W14" s="57">
        <v>4120</v>
      </c>
      <c r="X14" s="57">
        <v>4120</v>
      </c>
      <c r="Y14" s="57">
        <v>4120</v>
      </c>
      <c r="Z14" s="57">
        <v>4120</v>
      </c>
    </row>
    <row r="15" spans="1:27" x14ac:dyDescent="0.3">
      <c r="B15" s="56" t="s">
        <v>25</v>
      </c>
      <c r="C15" s="57"/>
      <c r="D15" s="58" t="s">
        <v>6</v>
      </c>
      <c r="E15" s="57">
        <f>E14</f>
        <v>0</v>
      </c>
      <c r="F15" s="57">
        <f t="shared" ref="F15:Z15" si="0">E15+F14</f>
        <v>2222.7412624028066</v>
      </c>
      <c r="G15" s="57">
        <f t="shared" si="0"/>
        <v>65260.706312014037</v>
      </c>
      <c r="H15" s="57">
        <f t="shared" si="0"/>
        <v>146342.33591835824</v>
      </c>
      <c r="I15" s="57">
        <f t="shared" si="0"/>
        <v>202192.10836160523</v>
      </c>
      <c r="J15" s="57">
        <f t="shared" si="0"/>
        <v>206312.10836160523</v>
      </c>
      <c r="K15" s="57">
        <f t="shared" si="0"/>
        <v>210432.10836160523</v>
      </c>
      <c r="L15" s="57">
        <f t="shared" si="0"/>
        <v>214552.10836160523</v>
      </c>
      <c r="M15" s="57">
        <f t="shared" si="0"/>
        <v>218672.10836160523</v>
      </c>
      <c r="N15" s="57">
        <f t="shared" si="0"/>
        <v>222792.10836160523</v>
      </c>
      <c r="O15" s="57">
        <f t="shared" si="0"/>
        <v>226912.10836160523</v>
      </c>
      <c r="P15" s="57">
        <f t="shared" si="0"/>
        <v>231032.10836160523</v>
      </c>
      <c r="Q15" s="57">
        <f t="shared" si="0"/>
        <v>235152.10836160523</v>
      </c>
      <c r="R15" s="57">
        <f t="shared" si="0"/>
        <v>239272.10836160523</v>
      </c>
      <c r="S15" s="57">
        <f t="shared" si="0"/>
        <v>243392.10836160523</v>
      </c>
      <c r="T15" s="57">
        <f t="shared" si="0"/>
        <v>247512.10836160523</v>
      </c>
      <c r="U15" s="57">
        <f t="shared" si="0"/>
        <v>251632.10836160523</v>
      </c>
      <c r="V15" s="57">
        <f t="shared" si="0"/>
        <v>255752.10836160523</v>
      </c>
      <c r="W15" s="57">
        <f t="shared" si="0"/>
        <v>259872.10836160523</v>
      </c>
      <c r="X15" s="57">
        <f t="shared" si="0"/>
        <v>263992.10836160521</v>
      </c>
      <c r="Y15" s="57">
        <f t="shared" si="0"/>
        <v>268112.10836160521</v>
      </c>
      <c r="Z15" s="57">
        <f t="shared" si="0"/>
        <v>272232.10836160521</v>
      </c>
    </row>
    <row r="16" spans="1:27" x14ac:dyDescent="0.3">
      <c r="B16" s="62"/>
      <c r="C16" s="63">
        <f>SUM(E16:Z16)</f>
        <v>62015</v>
      </c>
      <c r="D16" s="64" t="s">
        <v>4</v>
      </c>
      <c r="E16" s="63">
        <v>0</v>
      </c>
      <c r="F16" s="63">
        <v>490</v>
      </c>
      <c r="G16" s="63">
        <v>2879</v>
      </c>
      <c r="H16" s="63">
        <v>5246</v>
      </c>
      <c r="I16" s="63">
        <v>8900</v>
      </c>
      <c r="J16" s="63">
        <v>8900</v>
      </c>
      <c r="K16" s="63">
        <v>8900</v>
      </c>
      <c r="L16" s="63">
        <v>8900</v>
      </c>
      <c r="M16" s="63">
        <v>8900</v>
      </c>
      <c r="N16" s="63">
        <v>8900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40"/>
    </row>
    <row r="17" spans="1:27" x14ac:dyDescent="0.3">
      <c r="B17" s="62" t="s">
        <v>86</v>
      </c>
      <c r="C17" s="63"/>
      <c r="D17" s="64" t="s">
        <v>6</v>
      </c>
      <c r="E17" s="63">
        <v>0</v>
      </c>
      <c r="F17" s="63">
        <v>490</v>
      </c>
      <c r="G17" s="63">
        <v>3369</v>
      </c>
      <c r="H17" s="63">
        <v>8615</v>
      </c>
      <c r="I17" s="63">
        <v>17515</v>
      </c>
      <c r="J17" s="63">
        <v>26415</v>
      </c>
      <c r="K17" s="63">
        <v>35315</v>
      </c>
      <c r="L17" s="63">
        <v>44215</v>
      </c>
      <c r="M17" s="63">
        <v>53115</v>
      </c>
      <c r="N17" s="63">
        <v>62015</v>
      </c>
      <c r="O17" s="63">
        <v>62015</v>
      </c>
      <c r="P17" s="63">
        <v>62015</v>
      </c>
      <c r="Q17" s="63">
        <v>62015</v>
      </c>
      <c r="R17" s="63">
        <v>62015</v>
      </c>
      <c r="S17" s="63">
        <v>62015</v>
      </c>
      <c r="T17" s="63">
        <v>62015</v>
      </c>
      <c r="U17" s="63">
        <v>62015</v>
      </c>
      <c r="V17" s="63">
        <v>62015</v>
      </c>
      <c r="W17" s="63">
        <v>62015</v>
      </c>
      <c r="X17" s="63">
        <v>62015</v>
      </c>
      <c r="Y17" s="63">
        <v>62015</v>
      </c>
      <c r="Z17" s="63">
        <v>62015</v>
      </c>
    </row>
    <row r="18" spans="1:27" x14ac:dyDescent="0.3">
      <c r="A18" s="5"/>
      <c r="B18" s="65"/>
      <c r="C18" s="66">
        <v>32000</v>
      </c>
      <c r="D18" s="67" t="s">
        <v>4</v>
      </c>
      <c r="E18" s="66"/>
      <c r="F18" s="66"/>
      <c r="G18" s="66"/>
      <c r="H18" s="66">
        <v>0</v>
      </c>
      <c r="I18" s="66">
        <v>4000</v>
      </c>
      <c r="J18" s="66">
        <v>4000</v>
      </c>
      <c r="K18" s="66">
        <v>4000</v>
      </c>
      <c r="L18" s="66">
        <v>4000</v>
      </c>
      <c r="M18" s="66">
        <v>4000</v>
      </c>
      <c r="N18" s="66">
        <v>4000</v>
      </c>
      <c r="O18" s="66">
        <v>4000</v>
      </c>
      <c r="P18" s="66">
        <v>4000</v>
      </c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7" x14ac:dyDescent="0.3">
      <c r="B19" s="65" t="s">
        <v>87</v>
      </c>
      <c r="C19" s="66"/>
      <c r="D19" s="67" t="s">
        <v>6</v>
      </c>
      <c r="E19" s="66">
        <v>0</v>
      </c>
      <c r="F19" s="66">
        <v>0</v>
      </c>
      <c r="G19" s="66">
        <v>0</v>
      </c>
      <c r="H19" s="73">
        <v>6000</v>
      </c>
      <c r="I19" s="66">
        <v>10000</v>
      </c>
      <c r="J19" s="66">
        <v>14000</v>
      </c>
      <c r="K19" s="66">
        <v>18000</v>
      </c>
      <c r="L19" s="66">
        <v>22000</v>
      </c>
      <c r="M19" s="66">
        <v>26000</v>
      </c>
      <c r="N19" s="66">
        <v>30000</v>
      </c>
      <c r="O19" s="66">
        <v>34000</v>
      </c>
      <c r="P19" s="66">
        <v>38000</v>
      </c>
      <c r="Q19" s="66">
        <v>38000</v>
      </c>
      <c r="R19" s="66">
        <v>38000</v>
      </c>
      <c r="S19" s="66">
        <v>38000</v>
      </c>
      <c r="T19" s="66">
        <v>38000</v>
      </c>
      <c r="U19" s="66">
        <v>38000</v>
      </c>
      <c r="V19" s="66">
        <v>38000</v>
      </c>
      <c r="W19" s="66">
        <v>38000</v>
      </c>
      <c r="X19" s="66">
        <v>38000</v>
      </c>
      <c r="Y19" s="66">
        <v>38000</v>
      </c>
      <c r="Z19" s="66">
        <v>38000</v>
      </c>
    </row>
    <row r="20" spans="1:27" x14ac:dyDescent="0.3">
      <c r="B20" s="68"/>
      <c r="C20" s="69">
        <f>C18+C16+C14+C9</f>
        <v>3205750.1083616051</v>
      </c>
      <c r="D20" s="70" t="s">
        <v>4</v>
      </c>
      <c r="E20" s="69">
        <f t="shared" ref="E20:Z21" si="1">E18+E16+E14+E9</f>
        <v>0</v>
      </c>
      <c r="F20" s="69">
        <f t="shared" si="1"/>
        <v>2712.7412624028066</v>
      </c>
      <c r="G20" s="69">
        <f t="shared" si="1"/>
        <v>65916.96504961123</v>
      </c>
      <c r="H20" s="69">
        <f t="shared" si="1"/>
        <v>86327.629606344199</v>
      </c>
      <c r="I20" s="69">
        <f t="shared" si="1"/>
        <v>103749.772443247</v>
      </c>
      <c r="J20" s="69">
        <f t="shared" si="1"/>
        <v>52020</v>
      </c>
      <c r="K20" s="69">
        <f t="shared" si="1"/>
        <v>363207.875</v>
      </c>
      <c r="L20" s="69">
        <f t="shared" si="1"/>
        <v>363207.875</v>
      </c>
      <c r="M20" s="69">
        <f t="shared" si="1"/>
        <v>363207.875</v>
      </c>
      <c r="N20" s="69">
        <f t="shared" si="1"/>
        <v>363207.875</v>
      </c>
      <c r="O20" s="69">
        <f t="shared" si="1"/>
        <v>354307.875</v>
      </c>
      <c r="P20" s="69">
        <f t="shared" si="1"/>
        <v>354307.875</v>
      </c>
      <c r="Q20" s="69">
        <f t="shared" si="1"/>
        <v>350307.875</v>
      </c>
      <c r="R20" s="69">
        <f t="shared" si="1"/>
        <v>350307.875</v>
      </c>
      <c r="S20" s="69">
        <f t="shared" si="1"/>
        <v>4120</v>
      </c>
      <c r="T20" s="69">
        <f t="shared" si="1"/>
        <v>4120</v>
      </c>
      <c r="U20" s="69">
        <f t="shared" si="1"/>
        <v>4120</v>
      </c>
      <c r="V20" s="69">
        <f t="shared" si="1"/>
        <v>4120</v>
      </c>
      <c r="W20" s="69">
        <f t="shared" si="1"/>
        <v>4120</v>
      </c>
      <c r="X20" s="69">
        <f t="shared" si="1"/>
        <v>4120</v>
      </c>
      <c r="Y20" s="69">
        <f t="shared" si="1"/>
        <v>4120</v>
      </c>
      <c r="Z20" s="69">
        <f t="shared" si="1"/>
        <v>4120</v>
      </c>
    </row>
    <row r="21" spans="1:27" x14ac:dyDescent="0.3">
      <c r="B21" s="68" t="s">
        <v>88</v>
      </c>
      <c r="C21" s="71"/>
      <c r="D21" s="72" t="s">
        <v>6</v>
      </c>
      <c r="E21" s="69">
        <f t="shared" si="1"/>
        <v>0</v>
      </c>
      <c r="F21" s="69">
        <f t="shared" si="1"/>
        <v>2712.7412624028066</v>
      </c>
      <c r="G21" s="69">
        <f t="shared" si="1"/>
        <v>68629.706312014037</v>
      </c>
      <c r="H21" s="69">
        <f t="shared" si="1"/>
        <v>160957.33591835824</v>
      </c>
      <c r="I21" s="69">
        <f t="shared" si="1"/>
        <v>264707.10836160521</v>
      </c>
      <c r="J21" s="69">
        <f t="shared" si="1"/>
        <v>316727.10836160521</v>
      </c>
      <c r="K21" s="69">
        <f t="shared" si="1"/>
        <v>679934.98336160521</v>
      </c>
      <c r="L21" s="69">
        <f t="shared" si="1"/>
        <v>1043142.8583616052</v>
      </c>
      <c r="M21" s="69">
        <f t="shared" si="1"/>
        <v>1406350.7333616051</v>
      </c>
      <c r="N21" s="69">
        <f t="shared" si="1"/>
        <v>1769558.6083616051</v>
      </c>
      <c r="O21" s="69">
        <f t="shared" si="1"/>
        <v>2123866.4833616051</v>
      </c>
      <c r="P21" s="69">
        <f t="shared" si="1"/>
        <v>2478174.3583616051</v>
      </c>
      <c r="Q21" s="69">
        <f t="shared" si="1"/>
        <v>2828482.2333616051</v>
      </c>
      <c r="R21" s="69">
        <f t="shared" si="1"/>
        <v>3178790.1083616051</v>
      </c>
      <c r="S21" s="69">
        <f t="shared" si="1"/>
        <v>3182910.1083616051</v>
      </c>
      <c r="T21" s="69">
        <f t="shared" si="1"/>
        <v>3187030.1083616051</v>
      </c>
      <c r="U21" s="69">
        <f t="shared" si="1"/>
        <v>3191150.1083616051</v>
      </c>
      <c r="V21" s="69">
        <f t="shared" si="1"/>
        <v>3195270.1083616051</v>
      </c>
      <c r="W21" s="69">
        <f t="shared" si="1"/>
        <v>3199390.1083616051</v>
      </c>
      <c r="X21" s="69">
        <f t="shared" si="1"/>
        <v>3203510.1083616051</v>
      </c>
      <c r="Y21" s="69">
        <f t="shared" si="1"/>
        <v>3207630.1083616051</v>
      </c>
      <c r="Z21" s="69">
        <f t="shared" si="1"/>
        <v>3211750.1083616051</v>
      </c>
    </row>
    <row r="22" spans="1:27" x14ac:dyDescent="0.3">
      <c r="D22" s="5"/>
    </row>
    <row r="23" spans="1:27" s="1" customFormat="1" x14ac:dyDescent="0.3">
      <c r="C23" s="4" t="s">
        <v>10</v>
      </c>
      <c r="D23" s="1" t="s">
        <v>0</v>
      </c>
      <c r="E23" s="1">
        <v>2017</v>
      </c>
      <c r="F23" s="1">
        <v>2018</v>
      </c>
      <c r="G23" s="1">
        <v>2019</v>
      </c>
      <c r="H23" s="1">
        <v>2020</v>
      </c>
      <c r="I23" s="1">
        <v>2021</v>
      </c>
      <c r="J23" s="1">
        <v>2022</v>
      </c>
      <c r="K23" s="1">
        <v>2023</v>
      </c>
      <c r="L23" s="1">
        <v>2024</v>
      </c>
      <c r="M23" s="1">
        <v>2025</v>
      </c>
      <c r="N23" s="1">
        <v>2026</v>
      </c>
      <c r="O23" s="1">
        <v>2027</v>
      </c>
      <c r="P23" s="1">
        <v>2028</v>
      </c>
      <c r="Q23" s="1">
        <v>2029</v>
      </c>
      <c r="R23" s="1">
        <v>2030</v>
      </c>
      <c r="S23" s="1">
        <v>2031</v>
      </c>
      <c r="T23" s="1">
        <v>2032</v>
      </c>
      <c r="U23" s="1">
        <v>2033</v>
      </c>
      <c r="V23" s="1">
        <v>2034</v>
      </c>
      <c r="W23" s="1">
        <v>2035</v>
      </c>
      <c r="X23" s="1">
        <v>2036</v>
      </c>
      <c r="Y23" s="1">
        <v>2037</v>
      </c>
      <c r="Z23" s="1">
        <v>2038</v>
      </c>
    </row>
    <row r="24" spans="1:27" x14ac:dyDescent="0.3">
      <c r="A24" s="41" t="e">
        <f>#REF!</f>
        <v>#REF!</v>
      </c>
      <c r="B24" s="41"/>
      <c r="C24" s="41"/>
      <c r="D24" s="43">
        <f>D25+D50+D79+D102</f>
        <v>374567550.84917116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7" x14ac:dyDescent="0.3">
      <c r="A25" s="86" t="e">
        <f>#REF!</f>
        <v>#REF!</v>
      </c>
      <c r="B25" s="42" t="s">
        <v>88</v>
      </c>
      <c r="C25" s="42"/>
      <c r="D25" s="44">
        <f>SUM(D26:D29)</f>
        <v>82678526.415838093</v>
      </c>
      <c r="E25" s="42"/>
      <c r="F25" s="8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7" x14ac:dyDescent="0.3">
      <c r="A26" s="42"/>
      <c r="B26" s="42" t="s">
        <v>25</v>
      </c>
      <c r="C26" s="42"/>
      <c r="D26" s="44">
        <f>SUM(D30,D35,D40,D45)</f>
        <v>22100000</v>
      </c>
      <c r="E26" s="42"/>
      <c r="F26" s="8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7" x14ac:dyDescent="0.3">
      <c r="A27" s="42"/>
      <c r="B27" s="16" t="s">
        <v>86</v>
      </c>
      <c r="C27" s="42"/>
      <c r="D27" s="44">
        <v>538501</v>
      </c>
      <c r="E27" s="84">
        <v>0</v>
      </c>
      <c r="F27" s="84">
        <f>(F$17/$N$17)*$D27</f>
        <v>4254.8655970329764</v>
      </c>
      <c r="G27" s="84">
        <f>(G$17/$N$17)*$D27</f>
        <v>29254.371829396114</v>
      </c>
      <c r="H27" s="84">
        <f t="shared" ref="H27:Z27" si="2">(H17/$N17)*$D27</f>
        <v>74807.483915181816</v>
      </c>
      <c r="I27" s="84">
        <f t="shared" si="2"/>
        <v>152089.73659598484</v>
      </c>
      <c r="J27" s="84">
        <f t="shared" si="2"/>
        <v>229371.98927678788</v>
      </c>
      <c r="K27" s="84">
        <f t="shared" si="2"/>
        <v>306654.24195759086</v>
      </c>
      <c r="L27" s="84">
        <f t="shared" si="2"/>
        <v>383936.49463839392</v>
      </c>
      <c r="M27" s="84">
        <f t="shared" si="2"/>
        <v>461218.74731919693</v>
      </c>
      <c r="N27" s="84">
        <f t="shared" si="2"/>
        <v>538501</v>
      </c>
      <c r="O27" s="84">
        <f t="shared" si="2"/>
        <v>538501</v>
      </c>
      <c r="P27" s="84">
        <f t="shared" si="2"/>
        <v>538501</v>
      </c>
      <c r="Q27" s="84">
        <f t="shared" si="2"/>
        <v>538501</v>
      </c>
      <c r="R27" s="84">
        <f t="shared" si="2"/>
        <v>538501</v>
      </c>
      <c r="S27" s="84">
        <f t="shared" si="2"/>
        <v>538501</v>
      </c>
      <c r="T27" s="84">
        <f t="shared" si="2"/>
        <v>538501</v>
      </c>
      <c r="U27" s="84">
        <f t="shared" si="2"/>
        <v>538501</v>
      </c>
      <c r="V27" s="84">
        <f t="shared" si="2"/>
        <v>538501</v>
      </c>
      <c r="W27" s="84">
        <f t="shared" si="2"/>
        <v>538501</v>
      </c>
      <c r="X27" s="84">
        <f t="shared" si="2"/>
        <v>538501</v>
      </c>
      <c r="Y27" s="84">
        <f t="shared" si="2"/>
        <v>538501</v>
      </c>
      <c r="Z27" s="84">
        <f t="shared" si="2"/>
        <v>538501</v>
      </c>
    </row>
    <row r="28" spans="1:27" x14ac:dyDescent="0.3">
      <c r="A28" s="42"/>
      <c r="B28" s="42" t="s">
        <v>87</v>
      </c>
      <c r="C28" s="42"/>
      <c r="D28" s="44"/>
      <c r="E28" s="42"/>
      <c r="F28" s="84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7" collapsed="1" x14ac:dyDescent="0.3">
      <c r="A29" s="42"/>
      <c r="B29" s="42" t="s">
        <v>85</v>
      </c>
      <c r="C29" s="42"/>
      <c r="D29" s="44">
        <f>SUM(D32,D37,D42,D47)</f>
        <v>60040025.415838093</v>
      </c>
      <c r="E29" s="42"/>
      <c r="F29" s="84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7" hidden="1" outlineLevel="1" x14ac:dyDescent="0.3">
      <c r="A30" t="e">
        <f>#REF!</f>
        <v>#REF!</v>
      </c>
      <c r="B30" t="s">
        <v>25</v>
      </c>
      <c r="C30" s="81">
        <v>2.9886406670497099</v>
      </c>
      <c r="D30" s="82">
        <v>13400000</v>
      </c>
      <c r="E30" s="83">
        <f t="shared" ref="E30:Z30" si="3">$C$30*E$15</f>
        <v>0</v>
      </c>
      <c r="F30" s="83">
        <f t="shared" si="3"/>
        <v>6642.9749291464377</v>
      </c>
      <c r="G30" s="83">
        <f t="shared" si="3"/>
        <v>195040.80084447283</v>
      </c>
      <c r="H30" s="83">
        <f t="shared" si="3"/>
        <v>437364.65643665486</v>
      </c>
      <c r="I30" s="83">
        <f t="shared" si="3"/>
        <v>604279.55760601512</v>
      </c>
      <c r="J30" s="83">
        <f t="shared" si="3"/>
        <v>616592.75715425995</v>
      </c>
      <c r="K30" s="83">
        <f t="shared" si="3"/>
        <v>628905.95670250466</v>
      </c>
      <c r="L30" s="83">
        <f t="shared" si="3"/>
        <v>641219.15625074948</v>
      </c>
      <c r="M30" s="83">
        <f t="shared" si="3"/>
        <v>653532.35579899431</v>
      </c>
      <c r="N30" s="83">
        <f t="shared" si="3"/>
        <v>665845.55534723913</v>
      </c>
      <c r="O30" s="83">
        <f t="shared" si="3"/>
        <v>678158.75489548396</v>
      </c>
      <c r="P30" s="83">
        <f t="shared" si="3"/>
        <v>690471.95444372867</v>
      </c>
      <c r="Q30" s="83">
        <f t="shared" si="3"/>
        <v>702785.15399197349</v>
      </c>
      <c r="R30" s="83">
        <f t="shared" si="3"/>
        <v>715098.35354021832</v>
      </c>
      <c r="S30" s="83">
        <f t="shared" si="3"/>
        <v>727411.55308846314</v>
      </c>
      <c r="T30" s="83">
        <f t="shared" si="3"/>
        <v>739724.75263670797</v>
      </c>
      <c r="U30" s="83">
        <f t="shared" si="3"/>
        <v>752037.9521849528</v>
      </c>
      <c r="V30" s="83">
        <f t="shared" si="3"/>
        <v>764351.1517331975</v>
      </c>
      <c r="W30" s="83">
        <f t="shared" si="3"/>
        <v>776664.35128144233</v>
      </c>
      <c r="X30" s="83">
        <f t="shared" si="3"/>
        <v>788977.55082968704</v>
      </c>
      <c r="Y30" s="83">
        <f t="shared" si="3"/>
        <v>801290.75037793186</v>
      </c>
      <c r="Z30" s="83">
        <f t="shared" si="3"/>
        <v>813603.94992617669</v>
      </c>
    </row>
    <row r="31" spans="1:27" hidden="1" outlineLevel="1" x14ac:dyDescent="0.3">
      <c r="B31" t="s">
        <v>87</v>
      </c>
      <c r="C31" s="81"/>
      <c r="D31" s="82"/>
      <c r="E31" s="83"/>
      <c r="F31" s="40"/>
      <c r="G31" s="40"/>
      <c r="H31" s="40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7" hidden="1" outlineLevel="1" x14ac:dyDescent="0.3">
      <c r="B32" t="s">
        <v>85</v>
      </c>
      <c r="C32" s="88">
        <f>(D32/AVERAGE(I10:Z10))/16</f>
        <v>0.4179900600008204</v>
      </c>
      <c r="D32" s="91">
        <v>13317641.678028138</v>
      </c>
      <c r="E32" s="83">
        <v>0</v>
      </c>
      <c r="F32" s="83">
        <v>0</v>
      </c>
      <c r="G32" s="83">
        <v>0</v>
      </c>
      <c r="H32" s="83">
        <v>0</v>
      </c>
      <c r="I32" s="83">
        <v>10501.967003862899</v>
      </c>
      <c r="J32" s="83">
        <v>21003.934007725849</v>
      </c>
      <c r="K32" s="83">
        <v>122109.68597609199</v>
      </c>
      <c r="L32" s="83">
        <v>223215.43794445813</v>
      </c>
      <c r="M32" s="83">
        <v>324321.18991282431</v>
      </c>
      <c r="N32" s="83">
        <v>425426.94188119046</v>
      </c>
      <c r="O32" s="83">
        <v>526532.69384955661</v>
      </c>
      <c r="P32" s="83">
        <v>627638.44581792271</v>
      </c>
      <c r="Q32" s="83">
        <v>728744.1977862888</v>
      </c>
      <c r="R32" s="83">
        <v>829849.9497546549</v>
      </c>
      <c r="S32" s="83">
        <v>829849.9497546549</v>
      </c>
      <c r="T32" s="83">
        <v>829849.9497546549</v>
      </c>
      <c r="U32" s="83">
        <v>829849.9497546549</v>
      </c>
      <c r="V32" s="83">
        <v>829849.9497546549</v>
      </c>
      <c r="W32" s="83">
        <v>829849.9497546549</v>
      </c>
      <c r="X32" s="83">
        <v>829849.9497546549</v>
      </c>
      <c r="Y32" s="83">
        <v>829849.9497546549</v>
      </c>
      <c r="Z32" s="83">
        <v>829849.9497546549</v>
      </c>
      <c r="AA32" s="5"/>
    </row>
    <row r="33" spans="1:26" hidden="1" outlineLevel="1" x14ac:dyDescent="0.3">
      <c r="E33" s="83"/>
      <c r="F33" s="83"/>
      <c r="G33" s="83"/>
      <c r="H33" s="83"/>
      <c r="I33">
        <f>I32/SUM($I32:$Z32)</f>
        <v>1.0022735860277978E-3</v>
      </c>
      <c r="J33">
        <f t="shared" ref="J33:L33" si="4">J32/SUM($I32:$Z32)</f>
        <v>2.0045471720556004E-3</v>
      </c>
      <c r="K33">
        <f>K32/SUM($I32:$Z32)</f>
        <v>1.1653751416945867E-2</v>
      </c>
      <c r="L33">
        <f t="shared" si="4"/>
        <v>2.1302955661836133E-2</v>
      </c>
      <c r="M33">
        <f t="shared" ref="M33" si="5">M32/SUM($I32:$Z32)</f>
        <v>3.0952159906726406E-2</v>
      </c>
      <c r="N33">
        <f t="shared" ref="N33" si="6">N32/SUM($I32:$Z32)</f>
        <v>4.0601364151616672E-2</v>
      </c>
      <c r="O33">
        <f t="shared" ref="O33" si="7">O32/SUM($I32:$Z32)</f>
        <v>5.0250568396506941E-2</v>
      </c>
      <c r="P33">
        <f t="shared" ref="P33" si="8">P32/SUM($I32:$Z32)</f>
        <v>5.9899772641397203E-2</v>
      </c>
      <c r="Q33">
        <f t="shared" ref="Q33" si="9">Q32/SUM($I32:$Z32)</f>
        <v>6.9548976886287472E-2</v>
      </c>
      <c r="R33">
        <f t="shared" ref="R33" si="10">R32/SUM($I32:$Z32)</f>
        <v>7.9198181131177728E-2</v>
      </c>
      <c r="S33">
        <f t="shared" ref="S33" si="11">S32/SUM($I32:$Z32)</f>
        <v>7.9198181131177728E-2</v>
      </c>
      <c r="T33">
        <f t="shared" ref="T33" si="12">T32/SUM($I32:$Z32)</f>
        <v>7.9198181131177728E-2</v>
      </c>
      <c r="U33">
        <f t="shared" ref="U33" si="13">U32/SUM($I32:$Z32)</f>
        <v>7.9198181131177728E-2</v>
      </c>
      <c r="V33">
        <f t="shared" ref="V33" si="14">V32/SUM($I32:$Z32)</f>
        <v>7.9198181131177728E-2</v>
      </c>
      <c r="W33">
        <f t="shared" ref="W33" si="15">W32/SUM($I32:$Z32)</f>
        <v>7.9198181131177728E-2</v>
      </c>
      <c r="X33">
        <f t="shared" ref="X33" si="16">X32/SUM($I32:$Z32)</f>
        <v>7.9198181131177728E-2</v>
      </c>
      <c r="Y33">
        <f t="shared" ref="Y33" si="17">Y32/SUM($I32:$Z32)</f>
        <v>7.9198181131177728E-2</v>
      </c>
      <c r="Z33">
        <f t="shared" ref="Z33" si="18">Z32/SUM($I32:$Z32)</f>
        <v>7.9198181131177728E-2</v>
      </c>
    </row>
    <row r="34" spans="1:26" hidden="1" outlineLevel="1" x14ac:dyDescent="0.3">
      <c r="E34" s="83"/>
      <c r="F34" s="83"/>
      <c r="G34" s="83"/>
      <c r="H34" s="83"/>
      <c r="I34" s="90">
        <f>I33*$D32</f>
        <v>13347.920482070522</v>
      </c>
      <c r="J34" s="90">
        <f t="shared" ref="J34:Z34" si="19">J33*$D32</f>
        <v>26695.840964141105</v>
      </c>
      <c r="K34" s="90">
        <f t="shared" si="19"/>
        <v>155200.48557569776</v>
      </c>
      <c r="L34" s="90">
        <f>L33*$D32</f>
        <v>283705.1301872544</v>
      </c>
      <c r="M34" s="90">
        <f t="shared" si="19"/>
        <v>412209.77479881112</v>
      </c>
      <c r="N34" s="90">
        <f t="shared" si="19"/>
        <v>540714.41941036773</v>
      </c>
      <c r="O34" s="90">
        <f t="shared" si="19"/>
        <v>669219.06402192439</v>
      </c>
      <c r="P34" s="90">
        <f t="shared" si="19"/>
        <v>797723.70863348106</v>
      </c>
      <c r="Q34" s="90">
        <f t="shared" si="19"/>
        <v>926228.35324503772</v>
      </c>
      <c r="R34" s="90">
        <f t="shared" si="19"/>
        <v>1054732.9978565942</v>
      </c>
      <c r="S34" s="90">
        <f t="shared" si="19"/>
        <v>1054732.9978565942</v>
      </c>
      <c r="T34" s="90">
        <f t="shared" si="19"/>
        <v>1054732.9978565942</v>
      </c>
      <c r="U34" s="90">
        <f t="shared" si="19"/>
        <v>1054732.9978565942</v>
      </c>
      <c r="V34" s="90">
        <f t="shared" si="19"/>
        <v>1054732.9978565942</v>
      </c>
      <c r="W34" s="90">
        <f t="shared" si="19"/>
        <v>1054732.9978565942</v>
      </c>
      <c r="X34" s="90">
        <f t="shared" si="19"/>
        <v>1054732.9978565942</v>
      </c>
      <c r="Y34" s="90">
        <f t="shared" si="19"/>
        <v>1054732.9978565942</v>
      </c>
      <c r="Z34" s="90">
        <f t="shared" si="19"/>
        <v>1054732.9978565942</v>
      </c>
    </row>
    <row r="35" spans="1:26" hidden="1" outlineLevel="1" x14ac:dyDescent="0.3">
      <c r="A35" t="e">
        <f>#REF!</f>
        <v>#REF!</v>
      </c>
      <c r="B35" t="s">
        <v>25</v>
      </c>
      <c r="C35" s="81"/>
      <c r="D35" s="82">
        <v>0</v>
      </c>
      <c r="E35" s="40"/>
      <c r="F35" s="40"/>
      <c r="G35" s="40"/>
      <c r="H35" s="40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2"/>
      <c r="W35" s="82"/>
      <c r="X35" s="82"/>
      <c r="Y35" s="82"/>
      <c r="Z35" s="82"/>
    </row>
    <row r="36" spans="1:26" hidden="1" outlineLevel="1" x14ac:dyDescent="0.3">
      <c r="B36" t="s">
        <v>87</v>
      </c>
      <c r="C36" s="81"/>
      <c r="D36" s="82"/>
      <c r="E36" s="40"/>
      <c r="F36" s="40"/>
      <c r="G36" s="40"/>
      <c r="H36" s="40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idden="1" outlineLevel="1" x14ac:dyDescent="0.3">
      <c r="B37" t="s">
        <v>85</v>
      </c>
      <c r="C37" s="80" t="s">
        <v>91</v>
      </c>
      <c r="D37" s="82">
        <v>18195172.928460777</v>
      </c>
      <c r="E37" s="83">
        <v>0</v>
      </c>
      <c r="F37" s="83">
        <v>0</v>
      </c>
      <c r="G37" s="83">
        <v>0</v>
      </c>
      <c r="H37" s="83">
        <v>0</v>
      </c>
      <c r="I37" s="83">
        <v>13933.519794163163</v>
      </c>
      <c r="J37" s="83">
        <v>27867.039588326326</v>
      </c>
      <c r="K37" s="83">
        <v>166118.31818153121</v>
      </c>
      <c r="L37" s="83">
        <v>304369.59677473613</v>
      </c>
      <c r="M37" s="83">
        <v>442620.87536794099</v>
      </c>
      <c r="N37" s="83">
        <v>580872.1539611459</v>
      </c>
      <c r="O37" s="83">
        <v>719123.4325543507</v>
      </c>
      <c r="P37" s="83">
        <v>857374.71114755562</v>
      </c>
      <c r="Q37" s="83">
        <v>995625.98974076053</v>
      </c>
      <c r="R37" s="83">
        <v>1133877.2683339654</v>
      </c>
      <c r="S37" s="83">
        <v>1133877.2683339654</v>
      </c>
      <c r="T37" s="83">
        <v>1133877.2683339654</v>
      </c>
      <c r="U37" s="83">
        <v>1133877.2683339654</v>
      </c>
      <c r="V37" s="83">
        <v>1133877.2683339654</v>
      </c>
      <c r="W37" s="83">
        <v>1133877.2683339654</v>
      </c>
      <c r="X37" s="83">
        <v>1133877.2683339654</v>
      </c>
      <c r="Y37" s="83">
        <v>1133877.2683339654</v>
      </c>
      <c r="Z37" s="83">
        <v>1133877.2683339654</v>
      </c>
    </row>
    <row r="38" spans="1:26" hidden="1" outlineLevel="1" x14ac:dyDescent="0.3">
      <c r="E38" s="83"/>
      <c r="F38" s="83"/>
      <c r="G38" s="83"/>
      <c r="H38" s="83"/>
      <c r="I38">
        <f>I37/SUM($I37:$Z37)</f>
        <v>9.7350055683915473E-4</v>
      </c>
      <c r="J38">
        <f t="shared" ref="J38" si="20">J37/SUM($I37:$Z37)</f>
        <v>1.9470011136783095E-3</v>
      </c>
      <c r="K38">
        <f>K37/SUM($I37:$Z37)</f>
        <v>1.1606275918784603E-2</v>
      </c>
      <c r="L38">
        <f t="shared" ref="L38" si="21">L37/SUM($I37:$Z37)</f>
        <v>2.12655507238909E-2</v>
      </c>
      <c r="M38">
        <f>M37/SUM($I37:$Z37)</f>
        <v>3.0924825528997193E-2</v>
      </c>
      <c r="N38">
        <f t="shared" ref="N38" si="22">N37/SUM($I37:$Z37)</f>
        <v>4.0584100334103486E-2</v>
      </c>
      <c r="O38">
        <f t="shared" ref="O38" si="23">O37/SUM($I37:$Z37)</f>
        <v>5.0243375139209775E-2</v>
      </c>
      <c r="P38">
        <f t="shared" ref="P38" si="24">P37/SUM($I37:$Z37)</f>
        <v>5.9902649944316072E-2</v>
      </c>
      <c r="Q38">
        <f t="shared" ref="Q38" si="25">Q37/SUM($I37:$Z37)</f>
        <v>6.9561924749422369E-2</v>
      </c>
      <c r="R38">
        <f t="shared" ref="R38" si="26">R37/SUM($I37:$Z37)</f>
        <v>7.9221199554528665E-2</v>
      </c>
      <c r="S38">
        <f t="shared" ref="S38" si="27">S37/SUM($I37:$Z37)</f>
        <v>7.9221199554528665E-2</v>
      </c>
      <c r="T38">
        <f t="shared" ref="T38" si="28">T37/SUM($I37:$Z37)</f>
        <v>7.9221199554528665E-2</v>
      </c>
      <c r="U38">
        <f t="shared" ref="U38" si="29">U37/SUM($I37:$Z37)</f>
        <v>7.9221199554528665E-2</v>
      </c>
      <c r="V38">
        <f t="shared" ref="V38" si="30">V37/SUM($I37:$Z37)</f>
        <v>7.9221199554528665E-2</v>
      </c>
      <c r="W38">
        <f t="shared" ref="W38" si="31">W37/SUM($I37:$Z37)</f>
        <v>7.9221199554528665E-2</v>
      </c>
      <c r="X38">
        <f t="shared" ref="X38" si="32">X37/SUM($I37:$Z37)</f>
        <v>7.9221199554528665E-2</v>
      </c>
      <c r="Y38">
        <f t="shared" ref="Y38" si="33">Y37/SUM($I37:$Z37)</f>
        <v>7.9221199554528665E-2</v>
      </c>
      <c r="Z38">
        <f t="shared" ref="Z38" si="34">Z37/SUM($I37:$Z37)</f>
        <v>7.9221199554528665E-2</v>
      </c>
    </row>
    <row r="39" spans="1:26" hidden="1" outlineLevel="1" x14ac:dyDescent="0.3">
      <c r="E39" s="83"/>
      <c r="F39" s="83"/>
      <c r="G39" s="83"/>
      <c r="H39" s="83"/>
      <c r="I39" s="90">
        <f>I38*$D37</f>
        <v>17713.010977641279</v>
      </c>
      <c r="J39" s="90">
        <f t="shared" ref="J39" si="35">J38*$D37</f>
        <v>35426.021955282558</v>
      </c>
      <c r="K39" s="90">
        <f t="shared" ref="K39" si="36">K38*$D37</f>
        <v>211178.19739771585</v>
      </c>
      <c r="L39" s="90">
        <f t="shared" ref="L39" si="37">L38*$D37</f>
        <v>386930.37284014915</v>
      </c>
      <c r="M39" s="90">
        <f>M38*$D37</f>
        <v>562682.54828258243</v>
      </c>
      <c r="N39" s="90">
        <f t="shared" ref="N39" si="38">N38*$D37</f>
        <v>738434.72372501576</v>
      </c>
      <c r="O39" s="90">
        <f t="shared" ref="O39" si="39">O38*$D37</f>
        <v>914186.89916744886</v>
      </c>
      <c r="P39" s="90">
        <f t="shared" ref="P39" si="40">P38*$D37</f>
        <v>1089939.0746098822</v>
      </c>
      <c r="Q39" s="90">
        <f t="shared" ref="Q39" si="41">Q38*$D37</f>
        <v>1265691.2500523156</v>
      </c>
      <c r="R39" s="90">
        <f t="shared" ref="R39" si="42">R38*$D37</f>
        <v>1441443.4254947489</v>
      </c>
      <c r="S39" s="90">
        <f t="shared" ref="S39" si="43">S38*$D37</f>
        <v>1441443.4254947489</v>
      </c>
      <c r="T39" s="90">
        <f t="shared" ref="T39" si="44">T38*$D37</f>
        <v>1441443.4254947489</v>
      </c>
      <c r="U39" s="90">
        <f t="shared" ref="U39" si="45">U38*$D37</f>
        <v>1441443.4254947489</v>
      </c>
      <c r="V39" s="90">
        <f t="shared" ref="V39" si="46">V38*$D37</f>
        <v>1441443.4254947489</v>
      </c>
      <c r="W39" s="90">
        <f t="shared" ref="W39" si="47">W38*$D37</f>
        <v>1441443.4254947489</v>
      </c>
      <c r="X39" s="90">
        <f t="shared" ref="X39" si="48">X38*$D37</f>
        <v>1441443.4254947489</v>
      </c>
      <c r="Y39" s="90">
        <f t="shared" ref="Y39" si="49">Y38*$D37</f>
        <v>1441443.4254947489</v>
      </c>
      <c r="Z39" s="90">
        <f t="shared" ref="Z39" si="50">Z38*$D37</f>
        <v>1441443.4254947489</v>
      </c>
    </row>
    <row r="40" spans="1:26" hidden="1" outlineLevel="1" x14ac:dyDescent="0.3">
      <c r="A40" t="e">
        <f>#REF!</f>
        <v>#REF!</v>
      </c>
      <c r="B40" t="s">
        <v>25</v>
      </c>
      <c r="C40" s="81"/>
      <c r="D40" s="82">
        <v>0</v>
      </c>
      <c r="E40" s="40"/>
      <c r="F40" s="40"/>
      <c r="G40" s="40"/>
      <c r="H40" s="40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idden="1" outlineLevel="1" x14ac:dyDescent="0.3">
      <c r="B41" t="s">
        <v>87</v>
      </c>
      <c r="C41" s="81"/>
      <c r="D41" s="82"/>
      <c r="E41" s="40"/>
      <c r="F41" s="40"/>
      <c r="G41" s="40"/>
      <c r="H41" s="40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idden="1" outlineLevel="1" x14ac:dyDescent="0.3">
      <c r="B42" t="s">
        <v>85</v>
      </c>
      <c r="C42" s="80" t="s">
        <v>91</v>
      </c>
      <c r="D42" s="82">
        <v>28527210.809349179</v>
      </c>
      <c r="E42" s="83">
        <v>0</v>
      </c>
      <c r="F42" s="83">
        <v>0</v>
      </c>
      <c r="G42" s="83">
        <v>0</v>
      </c>
      <c r="H42" s="83">
        <v>0</v>
      </c>
      <c r="I42" s="83">
        <v>22219.115044247792</v>
      </c>
      <c r="J42" s="83">
        <v>44438.230088495584</v>
      </c>
      <c r="K42" s="83">
        <v>261090.37337389385</v>
      </c>
      <c r="L42" s="83">
        <v>477742.51665929216</v>
      </c>
      <c r="M42" s="83">
        <v>694394.65994469041</v>
      </c>
      <c r="N42" s="83">
        <v>911046.80323008867</v>
      </c>
      <c r="O42" s="83">
        <v>1127698.946515487</v>
      </c>
      <c r="P42" s="83">
        <v>1344351.0898008852</v>
      </c>
      <c r="Q42" s="83">
        <v>1561003.2330862836</v>
      </c>
      <c r="R42" s="83">
        <v>1777655.3763716817</v>
      </c>
      <c r="S42" s="83">
        <v>1777655.3763716817</v>
      </c>
      <c r="T42" s="83">
        <v>1777655.3763716817</v>
      </c>
      <c r="U42" s="83">
        <v>1777655.3763716817</v>
      </c>
      <c r="V42" s="83">
        <v>1777655.3763716817</v>
      </c>
      <c r="W42" s="83">
        <v>1777655.3763716817</v>
      </c>
      <c r="X42" s="83">
        <v>1777655.3763716817</v>
      </c>
      <c r="Y42" s="83">
        <v>1777655.3763716817</v>
      </c>
      <c r="Z42" s="83">
        <v>1777655.3763716817</v>
      </c>
    </row>
    <row r="43" spans="1:26" hidden="1" outlineLevel="1" x14ac:dyDescent="0.3">
      <c r="E43" s="83"/>
      <c r="F43" s="83"/>
      <c r="G43" s="83"/>
      <c r="H43" s="83"/>
      <c r="I43">
        <f>I42/SUM($I42:$Z42)</f>
        <v>9.9002943127670935E-4</v>
      </c>
      <c r="J43">
        <f t="shared" ref="J43" si="51">J42/SUM($I42:$Z42)</f>
        <v>1.9800588625534187E-3</v>
      </c>
      <c r="K43">
        <f>K42/SUM($I42:$Z42)</f>
        <v>1.1633548561606571E-2</v>
      </c>
      <c r="L43">
        <f t="shared" ref="L43" si="52">L42/SUM($I42:$Z42)</f>
        <v>2.1287038260659724E-2</v>
      </c>
      <c r="M43">
        <f>M42/SUM($I42:$Z42)</f>
        <v>3.0940527959712878E-2</v>
      </c>
      <c r="N43">
        <f>N42/SUM($I42:$Z42)</f>
        <v>4.0594017658766031E-2</v>
      </c>
      <c r="O43">
        <f t="shared" ref="O43" si="53">O42/SUM($I42:$Z42)</f>
        <v>5.0247507357819188E-2</v>
      </c>
      <c r="P43">
        <f t="shared" ref="P43" si="54">P42/SUM($I42:$Z42)</f>
        <v>5.9900997056872331E-2</v>
      </c>
      <c r="Q43">
        <f t="shared" ref="Q43" si="55">Q42/SUM($I42:$Z42)</f>
        <v>6.9554486755925488E-2</v>
      </c>
      <c r="R43">
        <f t="shared" ref="R43" si="56">R42/SUM($I42:$Z42)</f>
        <v>7.9207976454978637E-2</v>
      </c>
      <c r="S43">
        <f t="shared" ref="S43" si="57">S42/SUM($I42:$Z42)</f>
        <v>7.9207976454978637E-2</v>
      </c>
      <c r="T43">
        <f t="shared" ref="T43" si="58">T42/SUM($I42:$Z42)</f>
        <v>7.9207976454978637E-2</v>
      </c>
      <c r="U43">
        <f t="shared" ref="U43" si="59">U42/SUM($I42:$Z42)</f>
        <v>7.9207976454978637E-2</v>
      </c>
      <c r="V43">
        <f t="shared" ref="V43" si="60">V42/SUM($I42:$Z42)</f>
        <v>7.9207976454978637E-2</v>
      </c>
      <c r="W43">
        <f t="shared" ref="W43" si="61">W42/SUM($I42:$Z42)</f>
        <v>7.9207976454978637E-2</v>
      </c>
      <c r="X43">
        <f t="shared" ref="X43" si="62">X42/SUM($I42:$Z42)</f>
        <v>7.9207976454978637E-2</v>
      </c>
      <c r="Y43">
        <f t="shared" ref="Y43" si="63">Y42/SUM($I42:$Z42)</f>
        <v>7.9207976454978637E-2</v>
      </c>
      <c r="Z43">
        <f t="shared" ref="Z43" si="64">Z42/SUM($I42:$Z42)</f>
        <v>7.9207976454978637E-2</v>
      </c>
    </row>
    <row r="44" spans="1:26" hidden="1" outlineLevel="1" x14ac:dyDescent="0.3">
      <c r="E44" s="83"/>
      <c r="F44" s="83"/>
      <c r="G44" s="83"/>
      <c r="H44" s="83"/>
      <c r="I44" s="90">
        <f>I43*$D42</f>
        <v>28242.778293490763</v>
      </c>
      <c r="J44" s="90">
        <f t="shared" ref="J44" si="65">J43*$D42</f>
        <v>56485.556586981525</v>
      </c>
      <c r="K44" s="90">
        <f t="shared" ref="K44" si="66">K43*$D42</f>
        <v>331872.69227775157</v>
      </c>
      <c r="L44" s="90">
        <f t="shared" ref="L44" si="67">L43*$D42</f>
        <v>607259.82796852163</v>
      </c>
      <c r="M44" s="90">
        <f>M43*$D42</f>
        <v>882646.96365929174</v>
      </c>
      <c r="N44" s="90">
        <f t="shared" ref="N44" si="68">N43*$D42</f>
        <v>1158034.0993500617</v>
      </c>
      <c r="O44" s="90">
        <f t="shared" ref="O44" si="69">O43*$D42</f>
        <v>1433421.2350408318</v>
      </c>
      <c r="P44" s="90">
        <f t="shared" ref="P44" si="70">P43*$D42</f>
        <v>1708808.3707316017</v>
      </c>
      <c r="Q44" s="90">
        <f t="shared" ref="Q44" si="71">Q43*$D42</f>
        <v>1984195.5064223718</v>
      </c>
      <c r="R44" s="90">
        <f t="shared" ref="R44" si="72">R43*$D42</f>
        <v>2259582.6421131417</v>
      </c>
      <c r="S44" s="90">
        <f t="shared" ref="S44" si="73">S43*$D42</f>
        <v>2259582.6421131417</v>
      </c>
      <c r="T44" s="90">
        <f t="shared" ref="T44" si="74">T43*$D42</f>
        <v>2259582.6421131417</v>
      </c>
      <c r="U44" s="90">
        <f t="shared" ref="U44" si="75">U43*$D42</f>
        <v>2259582.6421131417</v>
      </c>
      <c r="V44" s="90">
        <f t="shared" ref="V44" si="76">V43*$D42</f>
        <v>2259582.6421131417</v>
      </c>
      <c r="W44" s="90">
        <f t="shared" ref="W44" si="77">W43*$D42</f>
        <v>2259582.6421131417</v>
      </c>
      <c r="X44" s="90">
        <f t="shared" ref="X44" si="78">X43*$D42</f>
        <v>2259582.6421131417</v>
      </c>
      <c r="Y44" s="90">
        <f t="shared" ref="Y44" si="79">Y43*$D42</f>
        <v>2259582.6421131417</v>
      </c>
      <c r="Z44" s="90">
        <f t="shared" ref="Z44" si="80">Z43*$D42</f>
        <v>2259582.6421131417</v>
      </c>
    </row>
    <row r="45" spans="1:26" hidden="1" outlineLevel="1" x14ac:dyDescent="0.3">
      <c r="A45" t="e">
        <f>#REF!</f>
        <v>#REF!</v>
      </c>
      <c r="B45" t="s">
        <v>25</v>
      </c>
      <c r="C45" s="81">
        <v>1.9421707566728472</v>
      </c>
      <c r="D45" s="82">
        <v>8700000</v>
      </c>
      <c r="E45" s="83">
        <f>$C$45*$E15</f>
        <v>0</v>
      </c>
      <c r="F45" s="83">
        <f t="shared" ref="F45:Z45" si="81">$C$45*F$15</f>
        <v>4316.9430794888185</v>
      </c>
      <c r="G45" s="83">
        <f t="shared" si="81"/>
        <v>126747.43535900876</v>
      </c>
      <c r="H45" s="83">
        <f t="shared" si="81"/>
        <v>284221.8052838298</v>
      </c>
      <c r="I45" s="83">
        <f t="shared" si="81"/>
        <v>392691.60008993716</v>
      </c>
      <c r="J45" s="83">
        <f t="shared" si="81"/>
        <v>400693.3436074293</v>
      </c>
      <c r="K45" s="83">
        <f t="shared" si="81"/>
        <v>408695.08712492144</v>
      </c>
      <c r="L45" s="83">
        <f t="shared" si="81"/>
        <v>416696.83064241352</v>
      </c>
      <c r="M45" s="83">
        <f t="shared" si="81"/>
        <v>424698.57415990566</v>
      </c>
      <c r="N45" s="83">
        <f t="shared" si="81"/>
        <v>432700.3176773978</v>
      </c>
      <c r="O45" s="83">
        <f t="shared" si="81"/>
        <v>440702.06119488995</v>
      </c>
      <c r="P45" s="83">
        <f t="shared" si="81"/>
        <v>448703.80471238209</v>
      </c>
      <c r="Q45" s="83">
        <f t="shared" si="81"/>
        <v>456705.54822987423</v>
      </c>
      <c r="R45" s="83">
        <f t="shared" si="81"/>
        <v>464707.29174736631</v>
      </c>
      <c r="S45" s="83">
        <f t="shared" si="81"/>
        <v>472709.03526485845</v>
      </c>
      <c r="T45" s="83">
        <f t="shared" si="81"/>
        <v>480710.77878235059</v>
      </c>
      <c r="U45" s="83">
        <f t="shared" si="81"/>
        <v>488712.52229984273</v>
      </c>
      <c r="V45" s="83">
        <f t="shared" si="81"/>
        <v>496714.26581733488</v>
      </c>
      <c r="W45" s="83">
        <f t="shared" si="81"/>
        <v>504716.00933482696</v>
      </c>
      <c r="X45" s="83">
        <f t="shared" si="81"/>
        <v>512717.75285231904</v>
      </c>
      <c r="Y45" s="83">
        <f t="shared" si="81"/>
        <v>520719.49636981118</v>
      </c>
      <c r="Z45" s="83">
        <f t="shared" si="81"/>
        <v>528721.23988730332</v>
      </c>
    </row>
    <row r="46" spans="1:26" hidden="1" outlineLevel="1" x14ac:dyDescent="0.3">
      <c r="B46" t="s">
        <v>87</v>
      </c>
      <c r="C46" s="81"/>
      <c r="D46" s="82"/>
      <c r="E46" s="40"/>
      <c r="F46" s="40"/>
      <c r="G46" s="40"/>
      <c r="H46" s="40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idden="1" outlineLevel="1" x14ac:dyDescent="0.3">
      <c r="B47" t="s">
        <v>85</v>
      </c>
      <c r="C47" s="80" t="s">
        <v>91</v>
      </c>
      <c r="D47" s="74">
        <v>0</v>
      </c>
      <c r="E47" s="83">
        <v>0</v>
      </c>
      <c r="F47" s="83">
        <v>0</v>
      </c>
      <c r="G47" s="83">
        <v>0</v>
      </c>
      <c r="H47" s="83">
        <v>0</v>
      </c>
      <c r="I47" s="79">
        <v>63385.332616101841</v>
      </c>
      <c r="J47" s="79">
        <v>126770.66523220368</v>
      </c>
      <c r="K47" s="79">
        <v>753720.19679038913</v>
      </c>
      <c r="L47" s="79">
        <v>1380669.7283485744</v>
      </c>
      <c r="M47" s="79">
        <v>2007619.2599067597</v>
      </c>
      <c r="N47" s="79">
        <v>2634568.7914649453</v>
      </c>
      <c r="O47" s="79">
        <v>3261518.3230231307</v>
      </c>
      <c r="P47" s="79">
        <v>3888467.854581316</v>
      </c>
      <c r="Q47" s="79">
        <v>4515417.3861395009</v>
      </c>
      <c r="R47" s="79">
        <v>5142366.9176976867</v>
      </c>
      <c r="S47" s="79">
        <v>5142366.9176976867</v>
      </c>
      <c r="T47" s="79">
        <v>5142366.9176976867</v>
      </c>
      <c r="U47" s="79">
        <v>5142366.9176976867</v>
      </c>
      <c r="V47" s="79">
        <v>5142366.9176976867</v>
      </c>
      <c r="W47" s="79">
        <v>5142366.9176976867</v>
      </c>
      <c r="X47" s="79">
        <v>5142366.9176976867</v>
      </c>
      <c r="Y47" s="79">
        <v>5142366.9176976867</v>
      </c>
      <c r="Z47" s="79">
        <v>5142366.9176976867</v>
      </c>
    </row>
    <row r="48" spans="1:26" hidden="1" outlineLevel="1" x14ac:dyDescent="0.3">
      <c r="E48" s="83"/>
      <c r="F48" s="83"/>
      <c r="G48" s="83"/>
      <c r="H48" s="83"/>
      <c r="I48">
        <f>I47/SUM($I47:$Z47)</f>
        <v>9.7645930971999005E-4</v>
      </c>
      <c r="J48">
        <f t="shared" ref="J48" si="82">J47/SUM($I47:$Z47)</f>
        <v>1.9529186194399801E-3</v>
      </c>
      <c r="K48">
        <f>K47/SUM($I47:$Z47)</f>
        <v>1.1611157861037988E-2</v>
      </c>
      <c r="L48">
        <f>L47/SUM($I47:$Z47)</f>
        <v>2.1269397102635992E-2</v>
      </c>
      <c r="M48">
        <f>M47/SUM($I47:$Z47)</f>
        <v>3.0927636344233997E-2</v>
      </c>
      <c r="N48">
        <f>N47/SUM($I47:$Z47)</f>
        <v>4.0585875585832008E-2</v>
      </c>
      <c r="O48">
        <f t="shared" ref="O48" si="83">O47/SUM($I47:$Z47)</f>
        <v>5.0244114827430013E-2</v>
      </c>
      <c r="P48">
        <f t="shared" ref="P48" si="84">P47/SUM($I47:$Z47)</f>
        <v>5.9902354069028017E-2</v>
      </c>
      <c r="Q48">
        <f t="shared" ref="Q48" si="85">Q47/SUM($I47:$Z47)</f>
        <v>6.9560593310626015E-2</v>
      </c>
      <c r="R48">
        <f t="shared" ref="R48" si="86">R47/SUM($I47:$Z47)</f>
        <v>7.9218832552224033E-2</v>
      </c>
      <c r="S48">
        <f t="shared" ref="S48" si="87">S47/SUM($I47:$Z47)</f>
        <v>7.9218832552224033E-2</v>
      </c>
      <c r="T48">
        <f t="shared" ref="T48" si="88">T47/SUM($I47:$Z47)</f>
        <v>7.9218832552224033E-2</v>
      </c>
      <c r="U48">
        <f t="shared" ref="U48" si="89">U47/SUM($I47:$Z47)</f>
        <v>7.9218832552224033E-2</v>
      </c>
      <c r="V48">
        <f t="shared" ref="V48" si="90">V47/SUM($I47:$Z47)</f>
        <v>7.9218832552224033E-2</v>
      </c>
      <c r="W48">
        <f t="shared" ref="W48" si="91">W47/SUM($I47:$Z47)</f>
        <v>7.9218832552224033E-2</v>
      </c>
      <c r="X48">
        <f t="shared" ref="X48" si="92">X47/SUM($I47:$Z47)</f>
        <v>7.9218832552224033E-2</v>
      </c>
      <c r="Y48">
        <f t="shared" ref="Y48" si="93">Y47/SUM($I47:$Z47)</f>
        <v>7.9218832552224033E-2</v>
      </c>
      <c r="Z48">
        <f t="shared" ref="Z48" si="94">Z47/SUM($I47:$Z47)</f>
        <v>7.9218832552224033E-2</v>
      </c>
    </row>
    <row r="49" spans="1:26" hidden="1" outlineLevel="1" x14ac:dyDescent="0.3">
      <c r="E49" s="83"/>
      <c r="F49" s="83"/>
      <c r="G49" s="83"/>
      <c r="H49" s="83"/>
      <c r="I49" s="90">
        <f>I48*$D47</f>
        <v>0</v>
      </c>
      <c r="J49" s="90">
        <f t="shared" ref="J49" si="95">J48*$D47</f>
        <v>0</v>
      </c>
      <c r="K49" s="90">
        <f t="shared" ref="K49" si="96">K48*$D47</f>
        <v>0</v>
      </c>
      <c r="L49" s="90">
        <f t="shared" ref="L49" si="97">L48*$D47</f>
        <v>0</v>
      </c>
      <c r="M49" s="90">
        <f>M48*$D47</f>
        <v>0</v>
      </c>
      <c r="N49" s="90">
        <f t="shared" ref="N49" si="98">N48*$D47</f>
        <v>0</v>
      </c>
      <c r="O49" s="90">
        <f t="shared" ref="O49" si="99">O48*$D47</f>
        <v>0</v>
      </c>
      <c r="P49" s="90">
        <f t="shared" ref="P49" si="100">P48*$D47</f>
        <v>0</v>
      </c>
      <c r="Q49" s="90">
        <f t="shared" ref="Q49" si="101">Q48*$D47</f>
        <v>0</v>
      </c>
      <c r="R49" s="90">
        <f t="shared" ref="R49" si="102">R48*$D47</f>
        <v>0</v>
      </c>
      <c r="S49" s="90">
        <f t="shared" ref="S49" si="103">S48*$D47</f>
        <v>0</v>
      </c>
      <c r="T49" s="90">
        <f t="shared" ref="T49" si="104">T48*$D47</f>
        <v>0</v>
      </c>
      <c r="U49" s="90">
        <f t="shared" ref="U49" si="105">U48*$D47</f>
        <v>0</v>
      </c>
      <c r="V49" s="90">
        <f t="shared" ref="V49" si="106">V48*$D47</f>
        <v>0</v>
      </c>
      <c r="W49" s="90">
        <f t="shared" ref="W49" si="107">W48*$D47</f>
        <v>0</v>
      </c>
      <c r="X49" s="90">
        <f t="shared" ref="X49" si="108">X48*$D47</f>
        <v>0</v>
      </c>
      <c r="Y49" s="90">
        <f t="shared" ref="Y49" si="109">Y48*$D47</f>
        <v>0</v>
      </c>
      <c r="Z49" s="90">
        <f t="shared" ref="Z49" si="110">Z48*$D47</f>
        <v>0</v>
      </c>
    </row>
    <row r="50" spans="1:26" x14ac:dyDescent="0.3">
      <c r="A50" s="86" t="e">
        <f>#REF!</f>
        <v>#REF!</v>
      </c>
      <c r="B50" s="42" t="s">
        <v>88</v>
      </c>
      <c r="C50" s="75"/>
      <c r="D50" s="44">
        <f>SUM(D51:D54)</f>
        <v>88128809.826961786</v>
      </c>
      <c r="E50" s="84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3">
      <c r="A51" s="42"/>
      <c r="B51" s="42" t="s">
        <v>25</v>
      </c>
      <c r="C51" s="42"/>
      <c r="D51" s="44">
        <f>SUM(D55,D61,D67,D73)</f>
        <v>19100000</v>
      </c>
      <c r="E51" s="42"/>
      <c r="F51" s="84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3">
      <c r="A52" s="42"/>
      <c r="B52" s="16" t="s">
        <v>86</v>
      </c>
      <c r="C52" s="42"/>
      <c r="D52" s="44">
        <v>574000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x14ac:dyDescent="0.3">
      <c r="A53" s="42"/>
      <c r="B53" s="42" t="s">
        <v>87</v>
      </c>
      <c r="C53" s="42"/>
      <c r="D53" s="44"/>
      <c r="E53" s="42"/>
      <c r="F53" s="84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collapsed="1" x14ac:dyDescent="0.3">
      <c r="A54" s="42"/>
      <c r="B54" s="42" t="s">
        <v>85</v>
      </c>
      <c r="C54" s="42"/>
      <c r="D54" s="44">
        <f>SUM(D58,D64,D70,D76)</f>
        <v>68454809.826961786</v>
      </c>
      <c r="E54" s="42"/>
      <c r="F54" s="84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idden="1" outlineLevel="1" x14ac:dyDescent="0.3">
      <c r="A55" t="e">
        <f>#REF!</f>
        <v>#REF!</v>
      </c>
      <c r="B55" t="s">
        <v>25</v>
      </c>
      <c r="C55" s="81"/>
      <c r="D55" s="82">
        <v>0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s="40" customFormat="1" hidden="1" outlineLevel="1" x14ac:dyDescent="0.3">
      <c r="B56" s="16" t="s">
        <v>86</v>
      </c>
      <c r="C56" s="81"/>
      <c r="D56" s="83">
        <f>(D55/(D$67+D$73))*3968960</f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</row>
    <row r="57" spans="1:26" hidden="1" outlineLevel="1" x14ac:dyDescent="0.3">
      <c r="B57" t="s">
        <v>87</v>
      </c>
      <c r="C57" s="81"/>
      <c r="D57" s="82"/>
      <c r="E57" s="83"/>
      <c r="F57" s="83"/>
      <c r="G57" s="83"/>
      <c r="H57" s="83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idden="1" outlineLevel="1" x14ac:dyDescent="0.3">
      <c r="B58" t="s">
        <v>85</v>
      </c>
      <c r="C58" s="80" t="s">
        <v>91</v>
      </c>
      <c r="D58" s="82">
        <v>2228737.6474506715</v>
      </c>
      <c r="E58" s="83">
        <v>0</v>
      </c>
      <c r="F58" s="83">
        <v>0</v>
      </c>
      <c r="G58" s="83">
        <v>0</v>
      </c>
      <c r="H58" s="83">
        <v>0</v>
      </c>
      <c r="I58" s="83">
        <v>1828.9402904787521</v>
      </c>
      <c r="J58" s="83">
        <v>3657.8805809575042</v>
      </c>
      <c r="K58" s="83">
        <v>20558.191904249597</v>
      </c>
      <c r="L58" s="83">
        <v>37458.503227541689</v>
      </c>
      <c r="M58" s="83">
        <v>54358.814550833784</v>
      </c>
      <c r="N58" s="83">
        <v>71259.125874125879</v>
      </c>
      <c r="O58" s="83">
        <v>88159.437197417981</v>
      </c>
      <c r="P58" s="83">
        <v>105059.74852071007</v>
      </c>
      <c r="Q58" s="83">
        <v>121960.05984400216</v>
      </c>
      <c r="R58" s="83">
        <v>138860.37116729424</v>
      </c>
      <c r="S58" s="83">
        <v>138860.37116729424</v>
      </c>
      <c r="T58" s="83">
        <v>138860.37116729424</v>
      </c>
      <c r="U58" s="83">
        <v>138860.37116729424</v>
      </c>
      <c r="V58" s="83">
        <v>138860.37116729424</v>
      </c>
      <c r="W58" s="83">
        <v>138860.37116729424</v>
      </c>
      <c r="X58" s="83">
        <v>138860.37116729424</v>
      </c>
      <c r="Y58" s="83">
        <v>138860.37116729424</v>
      </c>
      <c r="Z58" s="83">
        <v>138860.37116729424</v>
      </c>
    </row>
    <row r="59" spans="1:26" hidden="1" outlineLevel="1" x14ac:dyDescent="0.3">
      <c r="E59" s="83"/>
      <c r="F59" s="83"/>
      <c r="G59" s="83"/>
      <c r="H59" s="83"/>
      <c r="I59">
        <f>I58/SUM($I58:$Z58)</f>
        <v>1.0426991832406963E-3</v>
      </c>
      <c r="J59">
        <f t="shared" ref="J59" si="111">J58/SUM($I58:$Z58)</f>
        <v>2.0853983664813926E-3</v>
      </c>
      <c r="K59">
        <f>K58/SUM($I58:$Z58)</f>
        <v>1.1720453652347151E-2</v>
      </c>
      <c r="L59">
        <f>L58/SUM($I58:$Z58)</f>
        <v>2.1355508938212909E-2</v>
      </c>
      <c r="M59">
        <f>M58/SUM($I58:$Z58)</f>
        <v>3.0990564224078667E-2</v>
      </c>
      <c r="N59">
        <f>N58/SUM($I58:$Z58)</f>
        <v>4.0625619509944429E-2</v>
      </c>
      <c r="O59">
        <f t="shared" ref="O59" si="112">O58/SUM($I58:$Z58)</f>
        <v>5.0260674795810194E-2</v>
      </c>
      <c r="P59">
        <f t="shared" ref="P59" si="113">P58/SUM($I58:$Z58)</f>
        <v>5.9895730081675945E-2</v>
      </c>
      <c r="Q59">
        <f t="shared" ref="Q59" si="114">Q58/SUM($I58:$Z58)</f>
        <v>6.9530785367541703E-2</v>
      </c>
      <c r="R59">
        <f t="shared" ref="R59" si="115">R58/SUM($I58:$Z58)</f>
        <v>7.9165840653407454E-2</v>
      </c>
      <c r="S59">
        <f t="shared" ref="S59" si="116">S58/SUM($I58:$Z58)</f>
        <v>7.9165840653407454E-2</v>
      </c>
      <c r="T59">
        <f t="shared" ref="T59" si="117">T58/SUM($I58:$Z58)</f>
        <v>7.9165840653407454E-2</v>
      </c>
      <c r="U59">
        <f t="shared" ref="U59" si="118">U58/SUM($I58:$Z58)</f>
        <v>7.9165840653407454E-2</v>
      </c>
      <c r="V59">
        <f t="shared" ref="V59" si="119">V58/SUM($I58:$Z58)</f>
        <v>7.9165840653407454E-2</v>
      </c>
      <c r="W59">
        <f t="shared" ref="W59" si="120">W58/SUM($I58:$Z58)</f>
        <v>7.9165840653407454E-2</v>
      </c>
      <c r="X59">
        <f t="shared" ref="X59" si="121">X58/SUM($I58:$Z58)</f>
        <v>7.9165840653407454E-2</v>
      </c>
      <c r="Y59">
        <f t="shared" ref="Y59" si="122">Y58/SUM($I58:$Z58)</f>
        <v>7.9165840653407454E-2</v>
      </c>
      <c r="Z59">
        <f t="shared" ref="Z59" si="123">Z58/SUM($I58:$Z58)</f>
        <v>7.9165840653407454E-2</v>
      </c>
    </row>
    <row r="60" spans="1:26" hidden="1" outlineLevel="1" x14ac:dyDescent="0.3">
      <c r="E60" s="83"/>
      <c r="F60" s="83"/>
      <c r="G60" s="83"/>
      <c r="H60" s="83"/>
      <c r="I60" s="90">
        <f>I59*$D58</f>
        <v>2323.9029246546061</v>
      </c>
      <c r="J60" s="90">
        <f t="shared" ref="J60" si="124">J59*$D58</f>
        <v>4647.8058493092121</v>
      </c>
      <c r="K60" s="90">
        <f t="shared" ref="K60" si="125">K59*$D58</f>
        <v>26121.81630018682</v>
      </c>
      <c r="L60" s="90">
        <f>L59*$D58</f>
        <v>47595.826751064429</v>
      </c>
      <c r="M60" s="90">
        <f>M59*$D58</f>
        <v>69069.837201942035</v>
      </c>
      <c r="N60" s="90">
        <f t="shared" ref="N60" si="126">N59*$D58</f>
        <v>90543.847652819648</v>
      </c>
      <c r="O60" s="90">
        <f t="shared" ref="O60" si="127">O59*$D58</f>
        <v>112017.85810369728</v>
      </c>
      <c r="P60" s="90">
        <f t="shared" ref="P60" si="128">P59*$D58</f>
        <v>133491.86855457487</v>
      </c>
      <c r="Q60" s="90">
        <f t="shared" ref="Q60" si="129">Q59*$D58</f>
        <v>154965.87900545247</v>
      </c>
      <c r="R60" s="90">
        <f t="shared" ref="R60" si="130">R59*$D58</f>
        <v>176439.88945633007</v>
      </c>
      <c r="S60" s="90">
        <f t="shared" ref="S60" si="131">S59*$D58</f>
        <v>176439.88945633007</v>
      </c>
      <c r="T60" s="90">
        <f t="shared" ref="T60" si="132">T59*$D58</f>
        <v>176439.88945633007</v>
      </c>
      <c r="U60" s="90">
        <f t="shared" ref="U60" si="133">U59*$D58</f>
        <v>176439.88945633007</v>
      </c>
      <c r="V60" s="90">
        <f t="shared" ref="V60" si="134">V59*$D58</f>
        <v>176439.88945633007</v>
      </c>
      <c r="W60" s="90">
        <f t="shared" ref="W60" si="135">W59*$D58</f>
        <v>176439.88945633007</v>
      </c>
      <c r="X60" s="90">
        <f t="shared" ref="X60" si="136">X59*$D58</f>
        <v>176439.88945633007</v>
      </c>
      <c r="Y60" s="90">
        <f t="shared" ref="Y60" si="137">Y59*$D58</f>
        <v>176439.88945633007</v>
      </c>
      <c r="Z60" s="90">
        <f t="shared" ref="Z60" si="138">Z59*$D58</f>
        <v>176439.88945633007</v>
      </c>
    </row>
    <row r="61" spans="1:26" hidden="1" outlineLevel="1" x14ac:dyDescent="0.3">
      <c r="A61" t="e">
        <f>#REF!</f>
        <v>#REF!</v>
      </c>
      <c r="B61" t="s">
        <v>25</v>
      </c>
      <c r="C61" s="81"/>
      <c r="D61" s="82">
        <v>0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s="40" customFormat="1" hidden="1" outlineLevel="1" x14ac:dyDescent="0.3">
      <c r="B62" s="16" t="s">
        <v>86</v>
      </c>
      <c r="C62" s="81"/>
      <c r="D62" s="83">
        <f>(D61/(D$67+D$73))*3968960</f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3">
        <v>0</v>
      </c>
    </row>
    <row r="63" spans="1:26" hidden="1" outlineLevel="1" x14ac:dyDescent="0.3">
      <c r="B63" t="s">
        <v>87</v>
      </c>
      <c r="C63" s="81"/>
      <c r="D63" s="82"/>
      <c r="E63" s="83"/>
      <c r="F63" s="83"/>
      <c r="G63" s="83"/>
      <c r="H63" s="83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idden="1" outlineLevel="1" x14ac:dyDescent="0.3">
      <c r="B64" t="s">
        <v>85</v>
      </c>
      <c r="C64" s="80" t="s">
        <v>91</v>
      </c>
      <c r="D64" s="82">
        <v>63997334.532060444</v>
      </c>
      <c r="E64" s="83">
        <v>0</v>
      </c>
      <c r="F64" s="83">
        <v>0</v>
      </c>
      <c r="G64" s="83">
        <v>0</v>
      </c>
      <c r="H64" s="83">
        <v>0</v>
      </c>
      <c r="I64" s="83">
        <v>52191.395154398982</v>
      </c>
      <c r="J64" s="83">
        <v>104382.79030879796</v>
      </c>
      <c r="K64" s="83">
        <v>589759.77647729404</v>
      </c>
      <c r="L64" s="83">
        <v>1075136.7626457901</v>
      </c>
      <c r="M64" s="83">
        <v>1560513.7488142862</v>
      </c>
      <c r="N64" s="83">
        <v>2045890.734982782</v>
      </c>
      <c r="O64" s="83">
        <v>2531267.7211512779</v>
      </c>
      <c r="P64" s="83">
        <v>3016644.7073197747</v>
      </c>
      <c r="Q64" s="83">
        <v>3502021.6934882705</v>
      </c>
      <c r="R64" s="83">
        <v>3987398.6796567664</v>
      </c>
      <c r="S64" s="83">
        <v>3987398.6796567664</v>
      </c>
      <c r="T64" s="83">
        <v>3987398.6796567664</v>
      </c>
      <c r="U64" s="83">
        <v>3987398.6796567664</v>
      </c>
      <c r="V64" s="83">
        <v>3987398.6796567664</v>
      </c>
      <c r="W64" s="83">
        <v>3987398.6796567664</v>
      </c>
      <c r="X64" s="83">
        <v>3987398.6796567664</v>
      </c>
      <c r="Y64" s="83">
        <v>3987398.6796567664</v>
      </c>
      <c r="Z64" s="83">
        <v>3987398.6796567664</v>
      </c>
    </row>
    <row r="65" spans="1:27" hidden="1" outlineLevel="1" x14ac:dyDescent="0.3">
      <c r="E65" s="83"/>
      <c r="F65" s="83"/>
      <c r="G65" s="83"/>
      <c r="H65" s="83"/>
      <c r="I65">
        <f>I64/SUM($I64:$Z64)</f>
        <v>1.0362755795710417E-3</v>
      </c>
      <c r="J65">
        <f t="shared" ref="J65" si="139">J64/SUM($I64:$Z64)</f>
        <v>2.0725511591420834E-3</v>
      </c>
      <c r="K65">
        <f>K64/SUM($I64:$Z64)</f>
        <v>1.170985470629222E-2</v>
      </c>
      <c r="L65">
        <f>L64/SUM($I64:$Z64)</f>
        <v>2.1347158253442355E-2</v>
      </c>
      <c r="M65">
        <f>M64/SUM($I64:$Z64)</f>
        <v>3.0984461800592489E-2</v>
      </c>
      <c r="N65">
        <f>N64/SUM($I64:$Z64)</f>
        <v>4.0621765347742624E-2</v>
      </c>
      <c r="O65">
        <f t="shared" ref="O65" si="140">O64/SUM($I64:$Z64)</f>
        <v>5.0259068894892754E-2</v>
      </c>
      <c r="P65">
        <f t="shared" ref="P65" si="141">P64/SUM($I64:$Z64)</f>
        <v>5.9896372442042906E-2</v>
      </c>
      <c r="Q65">
        <f t="shared" ref="Q65" si="142">Q64/SUM($I64:$Z64)</f>
        <v>6.9533675989193036E-2</v>
      </c>
      <c r="R65">
        <f t="shared" ref="R65" si="143">R64/SUM($I64:$Z64)</f>
        <v>7.9170979536343167E-2</v>
      </c>
      <c r="S65">
        <f t="shared" ref="S65" si="144">S64/SUM($I64:$Z64)</f>
        <v>7.9170979536343167E-2</v>
      </c>
      <c r="T65">
        <f t="shared" ref="T65" si="145">T64/SUM($I64:$Z64)</f>
        <v>7.9170979536343167E-2</v>
      </c>
      <c r="U65">
        <f t="shared" ref="U65" si="146">U64/SUM($I64:$Z64)</f>
        <v>7.9170979536343167E-2</v>
      </c>
      <c r="V65">
        <f t="shared" ref="V65" si="147">V64/SUM($I64:$Z64)</f>
        <v>7.9170979536343167E-2</v>
      </c>
      <c r="W65">
        <f t="shared" ref="W65" si="148">W64/SUM($I64:$Z64)</f>
        <v>7.9170979536343167E-2</v>
      </c>
      <c r="X65">
        <f t="shared" ref="X65" si="149">X64/SUM($I64:$Z64)</f>
        <v>7.9170979536343167E-2</v>
      </c>
      <c r="Y65">
        <f t="shared" ref="Y65" si="150">Y64/SUM($I64:$Z64)</f>
        <v>7.9170979536343167E-2</v>
      </c>
      <c r="Z65">
        <f t="shared" ref="Z65" si="151">Z64/SUM($I64:$Z64)</f>
        <v>7.9170979536343167E-2</v>
      </c>
    </row>
    <row r="66" spans="1:27" hidden="1" outlineLevel="1" x14ac:dyDescent="0.3">
      <c r="E66" s="83"/>
      <c r="F66" s="83"/>
      <c r="G66" s="83"/>
      <c r="H66" s="83"/>
      <c r="I66" s="90">
        <f>I65*$D64</f>
        <v>66318.874933212777</v>
      </c>
      <c r="J66" s="90">
        <f t="shared" ref="J66" si="152">J65*$D64</f>
        <v>132637.74986642555</v>
      </c>
      <c r="K66" s="90">
        <f t="shared" ref="K66" si="153">K65*$D64</f>
        <v>749399.48896040558</v>
      </c>
      <c r="L66" s="90">
        <f>L65*$D64</f>
        <v>1366161.2280543856</v>
      </c>
      <c r="M66" s="90">
        <f>M65*$D64</f>
        <v>1982922.9671483655</v>
      </c>
      <c r="N66" s="90">
        <f t="shared" ref="N66" si="154">N65*$D64</f>
        <v>2599684.7062423453</v>
      </c>
      <c r="O66" s="90">
        <f t="shared" ref="O66" si="155">O65*$D64</f>
        <v>3216446.4453363251</v>
      </c>
      <c r="P66" s="90">
        <f t="shared" ref="P66" si="156">P65*$D64</f>
        <v>3833208.1844303058</v>
      </c>
      <c r="Q66" s="90">
        <f t="shared" ref="Q66" si="157">Q65*$D64</f>
        <v>4449969.9235242857</v>
      </c>
      <c r="R66" s="90">
        <f t="shared" ref="R66" si="158">R65*$D64</f>
        <v>5066731.6626182655</v>
      </c>
      <c r="S66" s="90">
        <f t="shared" ref="S66" si="159">S65*$D64</f>
        <v>5066731.6626182655</v>
      </c>
      <c r="T66" s="90">
        <f t="shared" ref="T66" si="160">T65*$D64</f>
        <v>5066731.6626182655</v>
      </c>
      <c r="U66" s="90">
        <f t="shared" ref="U66" si="161">U65*$D64</f>
        <v>5066731.6626182655</v>
      </c>
      <c r="V66" s="90">
        <f t="shared" ref="V66" si="162">V65*$D64</f>
        <v>5066731.6626182655</v>
      </c>
      <c r="W66" s="90">
        <f t="shared" ref="W66" si="163">W65*$D64</f>
        <v>5066731.6626182655</v>
      </c>
      <c r="X66" s="90">
        <f t="shared" ref="X66" si="164">X65*$D64</f>
        <v>5066731.6626182655</v>
      </c>
      <c r="Y66" s="90">
        <f t="shared" ref="Y66" si="165">Y65*$D64</f>
        <v>5066731.6626182655</v>
      </c>
      <c r="Z66" s="90">
        <f t="shared" ref="Z66" si="166">Z65*$D64</f>
        <v>5066731.6626182655</v>
      </c>
    </row>
    <row r="67" spans="1:27" hidden="1" outlineLevel="1" x14ac:dyDescent="0.3">
      <c r="A67" t="e">
        <f>#REF!</f>
        <v>#REF!</v>
      </c>
      <c r="B67" t="s">
        <v>25</v>
      </c>
      <c r="C67" s="81">
        <v>1.0705578508834781</v>
      </c>
      <c r="D67" s="82">
        <v>4800000</v>
      </c>
      <c r="E67" s="83">
        <f t="shared" ref="E67:Z67" si="167">$C$67*E$15</f>
        <v>0</v>
      </c>
      <c r="F67" s="83">
        <f t="shared" si="167"/>
        <v>2379.5731089479777</v>
      </c>
      <c r="G67" s="83">
        <f t="shared" si="167"/>
        <v>69865.361496527577</v>
      </c>
      <c r="H67" s="83">
        <f t="shared" si="167"/>
        <v>156667.93663402562</v>
      </c>
      <c r="I67" s="83">
        <f t="shared" si="167"/>
        <v>216458.34899319941</v>
      </c>
      <c r="J67" s="83">
        <f t="shared" si="167"/>
        <v>220869.04733883936</v>
      </c>
      <c r="K67" s="83">
        <f t="shared" si="167"/>
        <v>225279.74568447928</v>
      </c>
      <c r="L67" s="83">
        <f t="shared" si="167"/>
        <v>229690.44403011922</v>
      </c>
      <c r="M67" s="83">
        <f t="shared" si="167"/>
        <v>234101.14237575914</v>
      </c>
      <c r="N67" s="83">
        <f t="shared" si="167"/>
        <v>238511.84072139906</v>
      </c>
      <c r="O67" s="83">
        <f t="shared" si="167"/>
        <v>242922.539067039</v>
      </c>
      <c r="P67" s="83">
        <f t="shared" si="167"/>
        <v>247333.23741267892</v>
      </c>
      <c r="Q67" s="83">
        <f t="shared" si="167"/>
        <v>251743.93575831887</v>
      </c>
      <c r="R67" s="83">
        <f t="shared" si="167"/>
        <v>256154.63410395879</v>
      </c>
      <c r="S67" s="83">
        <f t="shared" si="167"/>
        <v>260565.33244959873</v>
      </c>
      <c r="T67" s="83">
        <f t="shared" si="167"/>
        <v>264976.03079523868</v>
      </c>
      <c r="U67" s="83">
        <f t="shared" si="167"/>
        <v>269386.7291408786</v>
      </c>
      <c r="V67" s="83">
        <f t="shared" si="167"/>
        <v>273797.42748651851</v>
      </c>
      <c r="W67" s="83">
        <f t="shared" si="167"/>
        <v>278208.12583215843</v>
      </c>
      <c r="X67" s="83">
        <f t="shared" si="167"/>
        <v>282618.82417779835</v>
      </c>
      <c r="Y67" s="83">
        <f t="shared" si="167"/>
        <v>287029.52252343827</v>
      </c>
      <c r="Z67" s="83">
        <f t="shared" si="167"/>
        <v>291440.22086907818</v>
      </c>
    </row>
    <row r="68" spans="1:27" s="40" customFormat="1" hidden="1" outlineLevel="1" x14ac:dyDescent="0.3">
      <c r="B68" s="16" t="s">
        <v>86</v>
      </c>
      <c r="C68" s="81"/>
      <c r="D68" s="83">
        <f>(D67/(D$67+D$73))*D52</f>
        <v>144251.30890052355</v>
      </c>
      <c r="E68" s="83"/>
      <c r="F68" s="83">
        <f>(F$17/$N$17)*$D68</f>
        <v>1139.7749151214471</v>
      </c>
      <c r="G68" s="83">
        <f t="shared" ref="G68:Z68" si="168">(G$17/$N$17)*$D68</f>
        <v>7836.5340592737857</v>
      </c>
      <c r="H68" s="83">
        <f t="shared" si="168"/>
        <v>20039.103864839319</v>
      </c>
      <c r="I68" s="83">
        <f t="shared" si="168"/>
        <v>40741.138037453355</v>
      </c>
      <c r="J68" s="83">
        <f t="shared" si="168"/>
        <v>61443.172210067394</v>
      </c>
      <c r="K68" s="83">
        <f t="shared" si="168"/>
        <v>82145.206382681426</v>
      </c>
      <c r="L68" s="83">
        <f t="shared" si="168"/>
        <v>102847.24055529547</v>
      </c>
      <c r="M68" s="83">
        <f t="shared" si="168"/>
        <v>123549.27472790951</v>
      </c>
      <c r="N68" s="83">
        <f t="shared" si="168"/>
        <v>144251.30890052355</v>
      </c>
      <c r="O68" s="83">
        <f t="shared" si="168"/>
        <v>144251.30890052355</v>
      </c>
      <c r="P68" s="83">
        <f t="shared" si="168"/>
        <v>144251.30890052355</v>
      </c>
      <c r="Q68" s="83">
        <f t="shared" si="168"/>
        <v>144251.30890052355</v>
      </c>
      <c r="R68" s="83">
        <f t="shared" si="168"/>
        <v>144251.30890052355</v>
      </c>
      <c r="S68" s="83">
        <f t="shared" si="168"/>
        <v>144251.30890052355</v>
      </c>
      <c r="T68" s="83">
        <f t="shared" si="168"/>
        <v>144251.30890052355</v>
      </c>
      <c r="U68" s="83">
        <f t="shared" si="168"/>
        <v>144251.30890052355</v>
      </c>
      <c r="V68" s="83">
        <f t="shared" si="168"/>
        <v>144251.30890052355</v>
      </c>
      <c r="W68" s="83">
        <f t="shared" si="168"/>
        <v>144251.30890052355</v>
      </c>
      <c r="X68" s="83">
        <f t="shared" si="168"/>
        <v>144251.30890052355</v>
      </c>
      <c r="Y68" s="83">
        <f t="shared" si="168"/>
        <v>144251.30890052355</v>
      </c>
      <c r="Z68" s="83">
        <f t="shared" si="168"/>
        <v>144251.30890052355</v>
      </c>
    </row>
    <row r="69" spans="1:27" hidden="1" outlineLevel="1" x14ac:dyDescent="0.3">
      <c r="B69" t="s">
        <v>87</v>
      </c>
      <c r="C69" s="81"/>
      <c r="D69" s="82"/>
      <c r="E69" s="83"/>
      <c r="F69" s="83"/>
      <c r="G69" s="83"/>
      <c r="H69" s="83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7" hidden="1" outlineLevel="1" x14ac:dyDescent="0.3">
      <c r="B70" t="s">
        <v>85</v>
      </c>
      <c r="C70" s="80" t="s">
        <v>91</v>
      </c>
      <c r="D70" s="82">
        <v>2228737.6474506715</v>
      </c>
      <c r="E70" s="83">
        <v>0</v>
      </c>
      <c r="F70" s="83">
        <v>0</v>
      </c>
      <c r="G70" s="83">
        <v>0</v>
      </c>
      <c r="H70" s="83">
        <v>0</v>
      </c>
      <c r="I70" s="83">
        <v>1828.9402904787521</v>
      </c>
      <c r="J70" s="83">
        <v>3657.8805809575042</v>
      </c>
      <c r="K70" s="83">
        <v>20558.191904249597</v>
      </c>
      <c r="L70" s="83">
        <v>37458.503227541689</v>
      </c>
      <c r="M70" s="83">
        <v>54358.814550833784</v>
      </c>
      <c r="N70" s="83">
        <v>71259.125874125879</v>
      </c>
      <c r="O70" s="83">
        <v>88159.437197417981</v>
      </c>
      <c r="P70" s="83">
        <v>105059.74852071007</v>
      </c>
      <c r="Q70" s="83">
        <v>121960.05984400216</v>
      </c>
      <c r="R70" s="83">
        <v>138860.37116729424</v>
      </c>
      <c r="S70" s="83">
        <v>138860.37116729424</v>
      </c>
      <c r="T70" s="83">
        <v>138860.37116729424</v>
      </c>
      <c r="U70" s="83">
        <v>138860.37116729424</v>
      </c>
      <c r="V70" s="83">
        <v>138860.37116729424</v>
      </c>
      <c r="W70" s="83">
        <v>138860.37116729424</v>
      </c>
      <c r="X70" s="83">
        <v>138860.37116729424</v>
      </c>
      <c r="Y70" s="83">
        <v>138860.37116729424</v>
      </c>
      <c r="Z70" s="83">
        <v>138860.37116729424</v>
      </c>
    </row>
    <row r="71" spans="1:27" hidden="1" outlineLevel="1" x14ac:dyDescent="0.3">
      <c r="E71" s="83"/>
      <c r="F71" s="83"/>
      <c r="G71" s="83"/>
      <c r="H71" s="83"/>
      <c r="I71">
        <f>I70/SUM($I70:$Z70)</f>
        <v>1.0426991832406963E-3</v>
      </c>
      <c r="J71">
        <f t="shared" ref="J71" si="169">J70/SUM($I70:$Z70)</f>
        <v>2.0853983664813926E-3</v>
      </c>
      <c r="K71">
        <f>K70/SUM($I70:$Z70)</f>
        <v>1.1720453652347151E-2</v>
      </c>
      <c r="L71">
        <f>L70/SUM($I70:$Z70)</f>
        <v>2.1355508938212909E-2</v>
      </c>
      <c r="M71">
        <f>M70/SUM($I70:$Z70)</f>
        <v>3.0990564224078667E-2</v>
      </c>
      <c r="N71">
        <f>N70/SUM($I70:$Z70)</f>
        <v>4.0625619509944429E-2</v>
      </c>
      <c r="O71">
        <f t="shared" ref="O71" si="170">O70/SUM($I70:$Z70)</f>
        <v>5.0260674795810194E-2</v>
      </c>
      <c r="P71">
        <f t="shared" ref="P71" si="171">P70/SUM($I70:$Z70)</f>
        <v>5.9895730081675945E-2</v>
      </c>
      <c r="Q71">
        <f t="shared" ref="Q71" si="172">Q70/SUM($I70:$Z70)</f>
        <v>6.9530785367541703E-2</v>
      </c>
      <c r="R71">
        <f t="shared" ref="R71" si="173">R70/SUM($I70:$Z70)</f>
        <v>7.9165840653407454E-2</v>
      </c>
      <c r="S71">
        <f t="shared" ref="S71" si="174">S70/SUM($I70:$Z70)</f>
        <v>7.9165840653407454E-2</v>
      </c>
      <c r="T71">
        <f t="shared" ref="T71" si="175">T70/SUM($I70:$Z70)</f>
        <v>7.9165840653407454E-2</v>
      </c>
      <c r="U71">
        <f t="shared" ref="U71" si="176">U70/SUM($I70:$Z70)</f>
        <v>7.9165840653407454E-2</v>
      </c>
      <c r="V71">
        <f t="shared" ref="V71" si="177">V70/SUM($I70:$Z70)</f>
        <v>7.9165840653407454E-2</v>
      </c>
      <c r="W71">
        <f t="shared" ref="W71" si="178">W70/SUM($I70:$Z70)</f>
        <v>7.9165840653407454E-2</v>
      </c>
      <c r="X71">
        <f t="shared" ref="X71" si="179">X70/SUM($I70:$Z70)</f>
        <v>7.9165840653407454E-2</v>
      </c>
      <c r="Y71">
        <f t="shared" ref="Y71" si="180">Y70/SUM($I70:$Z70)</f>
        <v>7.9165840653407454E-2</v>
      </c>
      <c r="Z71">
        <f t="shared" ref="Z71" si="181">Z70/SUM($I70:$Z70)</f>
        <v>7.9165840653407454E-2</v>
      </c>
    </row>
    <row r="72" spans="1:27" hidden="1" outlineLevel="1" x14ac:dyDescent="0.3">
      <c r="E72" s="83"/>
      <c r="F72" s="83"/>
      <c r="G72" s="83"/>
      <c r="H72" s="83"/>
      <c r="I72" s="90">
        <f>I71*$D70</f>
        <v>2323.9029246546061</v>
      </c>
      <c r="J72" s="90">
        <f t="shared" ref="J72" si="182">J71*$D70</f>
        <v>4647.8058493092121</v>
      </c>
      <c r="K72" s="90">
        <f t="shared" ref="K72" si="183">K71*$D70</f>
        <v>26121.81630018682</v>
      </c>
      <c r="L72" s="90">
        <f>L71*$D70</f>
        <v>47595.826751064429</v>
      </c>
      <c r="M72" s="90">
        <f>M71*$D70</f>
        <v>69069.837201942035</v>
      </c>
      <c r="N72" s="90">
        <f t="shared" ref="N72" si="184">N71*$D70</f>
        <v>90543.847652819648</v>
      </c>
      <c r="O72" s="90">
        <f t="shared" ref="O72" si="185">O71*$D70</f>
        <v>112017.85810369728</v>
      </c>
      <c r="P72" s="90">
        <f t="shared" ref="P72" si="186">P71*$D70</f>
        <v>133491.86855457487</v>
      </c>
      <c r="Q72" s="90">
        <f t="shared" ref="Q72" si="187">Q71*$D70</f>
        <v>154965.87900545247</v>
      </c>
      <c r="R72" s="90">
        <f t="shared" ref="R72" si="188">R71*$D70</f>
        <v>176439.88945633007</v>
      </c>
      <c r="S72" s="90">
        <f t="shared" ref="S72" si="189">S71*$D70</f>
        <v>176439.88945633007</v>
      </c>
      <c r="T72" s="90">
        <f t="shared" ref="T72" si="190">T71*$D70</f>
        <v>176439.88945633007</v>
      </c>
      <c r="U72" s="90">
        <f t="shared" ref="U72" si="191">U71*$D70</f>
        <v>176439.88945633007</v>
      </c>
      <c r="V72" s="90">
        <f t="shared" ref="V72" si="192">V71*$D70</f>
        <v>176439.88945633007</v>
      </c>
      <c r="W72" s="90">
        <f t="shared" ref="W72" si="193">W71*$D70</f>
        <v>176439.88945633007</v>
      </c>
      <c r="X72" s="90">
        <f t="shared" ref="X72" si="194">X71*$D70</f>
        <v>176439.88945633007</v>
      </c>
      <c r="Y72" s="90">
        <f t="shared" ref="Y72" si="195">Y71*$D70</f>
        <v>176439.88945633007</v>
      </c>
      <c r="Z72" s="90">
        <f t="shared" ref="Z72" si="196">Z71*$D70</f>
        <v>176439.88945633007</v>
      </c>
    </row>
    <row r="73" spans="1:27" hidden="1" outlineLevel="1" x14ac:dyDescent="0.3">
      <c r="A73" t="e">
        <f>#REF!</f>
        <v>#REF!</v>
      </c>
      <c r="B73" t="s">
        <v>25</v>
      </c>
      <c r="C73" s="81">
        <v>173.54368932038835</v>
      </c>
      <c r="D73" s="82">
        <v>14300000</v>
      </c>
      <c r="E73" s="83">
        <f t="shared" ref="E73:Z73" si="197">$C$73*E$13</f>
        <v>0</v>
      </c>
      <c r="F73" s="83">
        <f t="shared" si="197"/>
        <v>0</v>
      </c>
      <c r="G73" s="83">
        <f t="shared" si="197"/>
        <v>715000</v>
      </c>
      <c r="H73" s="83">
        <f t="shared" si="197"/>
        <v>715000</v>
      </c>
      <c r="I73" s="83">
        <f t="shared" si="197"/>
        <v>715000</v>
      </c>
      <c r="J73" s="83">
        <f t="shared" si="197"/>
        <v>715000</v>
      </c>
      <c r="K73" s="83">
        <f t="shared" si="197"/>
        <v>715000</v>
      </c>
      <c r="L73" s="83">
        <f t="shared" si="197"/>
        <v>715000</v>
      </c>
      <c r="M73" s="83">
        <f t="shared" si="197"/>
        <v>715000</v>
      </c>
      <c r="N73" s="83">
        <f t="shared" si="197"/>
        <v>715000</v>
      </c>
      <c r="O73" s="83">
        <f t="shared" si="197"/>
        <v>715000</v>
      </c>
      <c r="P73" s="83">
        <f t="shared" si="197"/>
        <v>715000</v>
      </c>
      <c r="Q73" s="83">
        <f t="shared" si="197"/>
        <v>715000</v>
      </c>
      <c r="R73" s="83">
        <f t="shared" si="197"/>
        <v>715000</v>
      </c>
      <c r="S73" s="83">
        <f t="shared" si="197"/>
        <v>715000</v>
      </c>
      <c r="T73" s="83">
        <f t="shared" si="197"/>
        <v>715000</v>
      </c>
      <c r="U73" s="83">
        <f t="shared" si="197"/>
        <v>715000</v>
      </c>
      <c r="V73" s="83">
        <f t="shared" si="197"/>
        <v>715000</v>
      </c>
      <c r="W73" s="83">
        <f t="shared" si="197"/>
        <v>715000</v>
      </c>
      <c r="X73" s="83">
        <f t="shared" si="197"/>
        <v>715000</v>
      </c>
      <c r="Y73" s="83">
        <f t="shared" si="197"/>
        <v>715000</v>
      </c>
      <c r="Z73" s="83">
        <f t="shared" si="197"/>
        <v>715000</v>
      </c>
    </row>
    <row r="74" spans="1:27" s="40" customFormat="1" hidden="1" outlineLevel="1" x14ac:dyDescent="0.3">
      <c r="B74" s="16" t="s">
        <v>86</v>
      </c>
      <c r="C74" s="81"/>
      <c r="D74" s="83">
        <f>(D73/(D$67+D$73))*D52</f>
        <v>429748.69109947642</v>
      </c>
      <c r="E74" s="83"/>
      <c r="F74" s="83">
        <f>(F$17/$N$17)*$D74</f>
        <v>3395.5794346326447</v>
      </c>
      <c r="G74" s="83">
        <f t="shared" ref="G74:Z74" si="198">(G$17/$N$17)*$D74</f>
        <v>23346.341051586489</v>
      </c>
      <c r="H74" s="83">
        <f t="shared" si="198"/>
        <v>59699.830264000469</v>
      </c>
      <c r="I74" s="83">
        <f>(I$17/$N$17)*$D74</f>
        <v>121374.64040324646</v>
      </c>
      <c r="J74" s="83">
        <f t="shared" si="198"/>
        <v>183049.45054249244</v>
      </c>
      <c r="K74" s="83">
        <f>(K$17/$N$17)*$D74</f>
        <v>244724.26068173844</v>
      </c>
      <c r="L74" s="83">
        <f t="shared" si="198"/>
        <v>306399.07082098443</v>
      </c>
      <c r="M74" s="83">
        <f t="shared" si="198"/>
        <v>368073.88096023042</v>
      </c>
      <c r="N74" s="83">
        <f t="shared" si="198"/>
        <v>429748.69109947642</v>
      </c>
      <c r="O74" s="83">
        <f t="shared" si="198"/>
        <v>429748.69109947642</v>
      </c>
      <c r="P74" s="83">
        <f t="shared" si="198"/>
        <v>429748.69109947642</v>
      </c>
      <c r="Q74" s="83">
        <f t="shared" si="198"/>
        <v>429748.69109947642</v>
      </c>
      <c r="R74" s="83">
        <f t="shared" si="198"/>
        <v>429748.69109947642</v>
      </c>
      <c r="S74" s="83">
        <f t="shared" si="198"/>
        <v>429748.69109947642</v>
      </c>
      <c r="T74" s="83">
        <f t="shared" si="198"/>
        <v>429748.69109947642</v>
      </c>
      <c r="U74" s="83">
        <f t="shared" si="198"/>
        <v>429748.69109947642</v>
      </c>
      <c r="V74" s="83">
        <f t="shared" si="198"/>
        <v>429748.69109947642</v>
      </c>
      <c r="W74" s="83">
        <f t="shared" si="198"/>
        <v>429748.69109947642</v>
      </c>
      <c r="X74" s="83">
        <f t="shared" si="198"/>
        <v>429748.69109947642</v>
      </c>
      <c r="Y74" s="83">
        <f t="shared" si="198"/>
        <v>429748.69109947642</v>
      </c>
      <c r="Z74" s="83">
        <f t="shared" si="198"/>
        <v>429748.69109947642</v>
      </c>
    </row>
    <row r="75" spans="1:27" hidden="1" outlineLevel="1" x14ac:dyDescent="0.3">
      <c r="B75" t="s">
        <v>87</v>
      </c>
      <c r="C75" s="81"/>
      <c r="D75" s="82"/>
      <c r="E75" s="83"/>
      <c r="F75" s="83"/>
      <c r="G75" s="83"/>
      <c r="H75" s="83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7" hidden="1" outlineLevel="1" x14ac:dyDescent="0.3">
      <c r="B76" t="s">
        <v>85</v>
      </c>
      <c r="C76" s="80" t="s">
        <v>91</v>
      </c>
      <c r="D76" s="74">
        <v>0</v>
      </c>
      <c r="E76" s="83">
        <v>0</v>
      </c>
      <c r="F76" s="83">
        <v>0</v>
      </c>
      <c r="G76" s="83">
        <v>0</v>
      </c>
      <c r="H76" s="83">
        <v>0</v>
      </c>
      <c r="I76" s="79">
        <v>1572816.96</v>
      </c>
      <c r="J76" s="79">
        <v>1572816.96</v>
      </c>
      <c r="K76" s="79">
        <v>1572816.96</v>
      </c>
      <c r="L76" s="79">
        <v>1572816.96</v>
      </c>
      <c r="M76" s="79">
        <v>1572816.96</v>
      </c>
      <c r="N76" s="79">
        <v>1572816.96</v>
      </c>
      <c r="O76" s="79">
        <v>1572816.96</v>
      </c>
      <c r="P76" s="79">
        <v>1572816.96</v>
      </c>
      <c r="Q76" s="79">
        <v>1572816.96</v>
      </c>
      <c r="R76" s="79">
        <v>1572816.96</v>
      </c>
      <c r="S76" s="79">
        <v>1572816.96</v>
      </c>
      <c r="T76" s="79">
        <v>1572816.96</v>
      </c>
      <c r="U76" s="79">
        <v>1572816.96</v>
      </c>
      <c r="V76" s="79">
        <v>1572816.96</v>
      </c>
      <c r="W76" s="79">
        <v>1572816.96</v>
      </c>
      <c r="X76" s="79">
        <v>1572816.96</v>
      </c>
      <c r="Y76" s="79">
        <v>1572816.96</v>
      </c>
      <c r="Z76" s="79">
        <v>1572816.96</v>
      </c>
    </row>
    <row r="77" spans="1:27" hidden="1" outlineLevel="1" x14ac:dyDescent="0.3">
      <c r="E77" s="83"/>
      <c r="F77" s="83"/>
      <c r="G77" s="83"/>
      <c r="H77" s="83"/>
      <c r="I77">
        <f>I76/SUM($I76:$Z76)</f>
        <v>5.5555555555555539E-2</v>
      </c>
      <c r="J77">
        <f t="shared" ref="J77" si="199">J76/SUM($I76:$Z76)</f>
        <v>5.5555555555555539E-2</v>
      </c>
      <c r="K77">
        <f>K76/SUM($I76:$Z76)</f>
        <v>5.5555555555555539E-2</v>
      </c>
      <c r="L77">
        <f>L76/SUM($I76:$Z76)</f>
        <v>5.5555555555555539E-2</v>
      </c>
      <c r="M77">
        <f>M76/SUM($I76:$Z76)</f>
        <v>5.5555555555555539E-2</v>
      </c>
      <c r="N77">
        <f>N76/SUM($I76:$Z76)</f>
        <v>5.5555555555555539E-2</v>
      </c>
      <c r="O77">
        <f t="shared" ref="O77" si="200">O76/SUM($I76:$Z76)</f>
        <v>5.5555555555555539E-2</v>
      </c>
      <c r="P77">
        <f t="shared" ref="P77" si="201">P76/SUM($I76:$Z76)</f>
        <v>5.5555555555555539E-2</v>
      </c>
      <c r="Q77">
        <f t="shared" ref="Q77" si="202">Q76/SUM($I76:$Z76)</f>
        <v>5.5555555555555539E-2</v>
      </c>
      <c r="R77">
        <f t="shared" ref="R77" si="203">R76/SUM($I76:$Z76)</f>
        <v>5.5555555555555539E-2</v>
      </c>
      <c r="S77">
        <f t="shared" ref="S77" si="204">S76/SUM($I76:$Z76)</f>
        <v>5.5555555555555539E-2</v>
      </c>
      <c r="T77">
        <f t="shared" ref="T77" si="205">T76/SUM($I76:$Z76)</f>
        <v>5.5555555555555539E-2</v>
      </c>
      <c r="U77">
        <f t="shared" ref="U77" si="206">U76/SUM($I76:$Z76)</f>
        <v>5.5555555555555539E-2</v>
      </c>
      <c r="V77">
        <f t="shared" ref="V77" si="207">V76/SUM($I76:$Z76)</f>
        <v>5.5555555555555539E-2</v>
      </c>
      <c r="W77">
        <f t="shared" ref="W77" si="208">W76/SUM($I76:$Z76)</f>
        <v>5.5555555555555539E-2</v>
      </c>
      <c r="X77">
        <f t="shared" ref="X77" si="209">X76/SUM($I76:$Z76)</f>
        <v>5.5555555555555539E-2</v>
      </c>
      <c r="Y77">
        <f t="shared" ref="Y77" si="210">Y76/SUM($I76:$Z76)</f>
        <v>5.5555555555555539E-2</v>
      </c>
      <c r="Z77">
        <f t="shared" ref="Z77" si="211">Z76/SUM($I76:$Z76)</f>
        <v>5.5555555555555539E-2</v>
      </c>
    </row>
    <row r="78" spans="1:27" hidden="1" outlineLevel="1" x14ac:dyDescent="0.3">
      <c r="E78" s="83"/>
      <c r="F78" s="83"/>
      <c r="G78" s="83"/>
      <c r="H78" s="83"/>
      <c r="I78" s="90">
        <f>I77*$D76</f>
        <v>0</v>
      </c>
      <c r="J78" s="90">
        <f t="shared" ref="J78" si="212">J77*$D76</f>
        <v>0</v>
      </c>
      <c r="K78" s="90">
        <f t="shared" ref="K78" si="213">K77*$D76</f>
        <v>0</v>
      </c>
      <c r="L78" s="90">
        <f>L77*$D76</f>
        <v>0</v>
      </c>
      <c r="M78" s="90">
        <f>M77*$D76</f>
        <v>0</v>
      </c>
      <c r="N78" s="90">
        <f t="shared" ref="N78" si="214">N77*$D76</f>
        <v>0</v>
      </c>
      <c r="O78" s="90">
        <f t="shared" ref="O78" si="215">O77*$D76</f>
        <v>0</v>
      </c>
      <c r="P78" s="90">
        <f t="shared" ref="P78" si="216">P77*$D76</f>
        <v>0</v>
      </c>
      <c r="Q78" s="90">
        <f t="shared" ref="Q78" si="217">Q77*$D76</f>
        <v>0</v>
      </c>
      <c r="R78" s="90">
        <f t="shared" ref="R78" si="218">R77*$D76</f>
        <v>0</v>
      </c>
      <c r="S78" s="90">
        <f t="shared" ref="S78" si="219">S77*$D76</f>
        <v>0</v>
      </c>
      <c r="T78" s="90">
        <f t="shared" ref="T78" si="220">T77*$D76</f>
        <v>0</v>
      </c>
      <c r="U78" s="90">
        <f t="shared" ref="U78" si="221">U77*$D76</f>
        <v>0</v>
      </c>
      <c r="V78" s="90">
        <f t="shared" ref="V78" si="222">V77*$D76</f>
        <v>0</v>
      </c>
      <c r="W78" s="90">
        <f t="shared" ref="W78" si="223">W77*$D76</f>
        <v>0</v>
      </c>
      <c r="X78" s="90">
        <f t="shared" ref="X78" si="224">X77*$D76</f>
        <v>0</v>
      </c>
      <c r="Y78" s="90">
        <f t="shared" ref="Y78" si="225">Y77*$D76</f>
        <v>0</v>
      </c>
      <c r="Z78" s="90">
        <f t="shared" ref="Z78" si="226">Z77*$D76</f>
        <v>0</v>
      </c>
    </row>
    <row r="79" spans="1:27" x14ac:dyDescent="0.3">
      <c r="A79" s="86" t="e">
        <f>#REF!</f>
        <v>#REF!</v>
      </c>
      <c r="B79" s="42" t="s">
        <v>88</v>
      </c>
      <c r="C79" s="75"/>
      <c r="D79" s="44">
        <f>SUM(D80:D83)</f>
        <v>198637466.60866049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x14ac:dyDescent="0.3">
      <c r="A80" s="42"/>
      <c r="B80" s="42" t="s">
        <v>25</v>
      </c>
      <c r="C80" s="42"/>
      <c r="D80" s="44">
        <f>SUM(D84,D90,D96)</f>
        <v>19800000</v>
      </c>
      <c r="E80" s="42"/>
      <c r="F80" s="84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x14ac:dyDescent="0.3">
      <c r="A81" s="42"/>
      <c r="B81" s="16" t="s">
        <v>86</v>
      </c>
      <c r="C81" s="42"/>
      <c r="D81" s="44">
        <v>3968960</v>
      </c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x14ac:dyDescent="0.3">
      <c r="A82" s="42"/>
      <c r="B82" s="42" t="s">
        <v>87</v>
      </c>
      <c r="C82" s="42"/>
      <c r="D82" s="44"/>
      <c r="E82" s="42"/>
      <c r="F82" s="84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collapsed="1" x14ac:dyDescent="0.3">
      <c r="A83" s="42"/>
      <c r="B83" s="42" t="s">
        <v>85</v>
      </c>
      <c r="C83" s="42"/>
      <c r="D83" s="44">
        <f>SUM(D87,D93,D99)</f>
        <v>174868506.60866049</v>
      </c>
      <c r="E83" s="42"/>
      <c r="F83" s="84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idden="1" outlineLevel="1" x14ac:dyDescent="0.3">
      <c r="A84" t="e">
        <f>#REF!</f>
        <v>#REF!</v>
      </c>
      <c r="B84" t="s">
        <v>25</v>
      </c>
      <c r="C84" s="81"/>
      <c r="D84" s="82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idden="1" outlineLevel="1" x14ac:dyDescent="0.3">
      <c r="B85" t="s">
        <v>86</v>
      </c>
      <c r="C85" s="81"/>
      <c r="D85" s="82"/>
      <c r="E85" s="83"/>
      <c r="F85" s="83"/>
      <c r="G85" s="83"/>
      <c r="H85" s="83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idden="1" outlineLevel="1" x14ac:dyDescent="0.3">
      <c r="B86" t="s">
        <v>87</v>
      </c>
      <c r="C86" s="81"/>
      <c r="D86" s="82"/>
      <c r="E86" s="83"/>
      <c r="F86" s="83"/>
      <c r="G86" s="83"/>
      <c r="H86" s="83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idden="1" outlineLevel="1" x14ac:dyDescent="0.3">
      <c r="B87" t="s">
        <v>85</v>
      </c>
      <c r="C87" s="80" t="s">
        <v>91</v>
      </c>
      <c r="D87" s="82">
        <v>60708096.358467489</v>
      </c>
      <c r="E87" s="83">
        <v>0</v>
      </c>
      <c r="F87" s="83">
        <v>0</v>
      </c>
      <c r="G87" s="83">
        <v>0</v>
      </c>
      <c r="H87" s="83">
        <v>0</v>
      </c>
      <c r="I87" s="83">
        <v>47514.809325991424</v>
      </c>
      <c r="J87" s="83">
        <v>95029.618651982848</v>
      </c>
      <c r="K87" s="83">
        <v>556017.48108200252</v>
      </c>
      <c r="L87" s="83">
        <v>1017005.3435120223</v>
      </c>
      <c r="M87" s="83">
        <v>1477993.2059420419</v>
      </c>
      <c r="N87" s="83">
        <v>1938981.0683720615</v>
      </c>
      <c r="O87" s="83">
        <v>2399968.9308020808</v>
      </c>
      <c r="P87" s="83">
        <v>2860956.793232101</v>
      </c>
      <c r="Q87" s="83">
        <v>3321944.6556621203</v>
      </c>
      <c r="R87" s="83">
        <v>3782932.5180921396</v>
      </c>
      <c r="S87" s="83">
        <v>3782932.5180921396</v>
      </c>
      <c r="T87" s="83">
        <v>3782932.5180921396</v>
      </c>
      <c r="U87" s="83">
        <v>3782932.5180921396</v>
      </c>
      <c r="V87" s="83">
        <v>3782932.5180921396</v>
      </c>
      <c r="W87" s="83">
        <v>3782932.5180921396</v>
      </c>
      <c r="X87" s="83">
        <v>3782932.5180921396</v>
      </c>
      <c r="Y87" s="83">
        <v>3782932.5180921396</v>
      </c>
      <c r="Z87" s="83">
        <v>3782932.5180921396</v>
      </c>
    </row>
    <row r="88" spans="1:26" hidden="1" outlineLevel="1" x14ac:dyDescent="0.3">
      <c r="E88" s="83"/>
      <c r="F88" s="83"/>
      <c r="G88" s="83"/>
      <c r="H88" s="83"/>
      <c r="I88">
        <f>I87/SUM($I87:$Z87)</f>
        <v>9.9482860319774383E-4</v>
      </c>
      <c r="J88">
        <f t="shared" ref="J88" si="227">J87/SUM($I87:$Z87)</f>
        <v>1.9896572063954877E-3</v>
      </c>
      <c r="K88">
        <f>K87/SUM($I87:$Z87)</f>
        <v>1.1641467195276277E-2</v>
      </c>
      <c r="L88">
        <f>L87/SUM($I87:$Z87)</f>
        <v>2.1293277184157071E-2</v>
      </c>
      <c r="M88">
        <f>M87/SUM($I87:$Z87)</f>
        <v>3.0945087173037858E-2</v>
      </c>
      <c r="N88">
        <f>N87/SUM($I87:$Z87)</f>
        <v>4.0596897161918645E-2</v>
      </c>
      <c r="O88">
        <f t="shared" ref="O88" si="228">O87/SUM($I87:$Z87)</f>
        <v>5.0248707150799432E-2</v>
      </c>
      <c r="P88">
        <f t="shared" ref="P88" si="229">P87/SUM($I87:$Z87)</f>
        <v>5.9900517139680233E-2</v>
      </c>
      <c r="Q88">
        <f t="shared" ref="Q88" si="230">Q87/SUM($I87:$Z87)</f>
        <v>6.955232712856102E-2</v>
      </c>
      <c r="R88">
        <f t="shared" ref="R88" si="231">R87/SUM($I87:$Z87)</f>
        <v>7.92041371174418E-2</v>
      </c>
      <c r="S88">
        <f t="shared" ref="S88" si="232">S87/SUM($I87:$Z87)</f>
        <v>7.92041371174418E-2</v>
      </c>
      <c r="T88">
        <f t="shared" ref="T88" si="233">T87/SUM($I87:$Z87)</f>
        <v>7.92041371174418E-2</v>
      </c>
      <c r="U88">
        <f t="shared" ref="U88" si="234">U87/SUM($I87:$Z87)</f>
        <v>7.92041371174418E-2</v>
      </c>
      <c r="V88">
        <f t="shared" ref="V88" si="235">V87/SUM($I87:$Z87)</f>
        <v>7.92041371174418E-2</v>
      </c>
      <c r="W88">
        <f t="shared" ref="W88" si="236">W87/SUM($I87:$Z87)</f>
        <v>7.92041371174418E-2</v>
      </c>
      <c r="X88">
        <f t="shared" ref="X88" si="237">X87/SUM($I87:$Z87)</f>
        <v>7.92041371174418E-2</v>
      </c>
      <c r="Y88">
        <f t="shared" ref="Y88" si="238">Y87/SUM($I87:$Z87)</f>
        <v>7.92041371174418E-2</v>
      </c>
      <c r="Z88">
        <f t="shared" ref="Z88" si="239">Z87/SUM($I87:$Z87)</f>
        <v>7.92041371174418E-2</v>
      </c>
    </row>
    <row r="89" spans="1:26" hidden="1" outlineLevel="1" x14ac:dyDescent="0.3">
      <c r="E89" s="83"/>
      <c r="F89" s="83"/>
      <c r="G89" s="83"/>
      <c r="H89" s="83"/>
      <c r="I89" s="90">
        <f>I88*$D87</f>
        <v>60394.150703088249</v>
      </c>
      <c r="J89" s="90">
        <f t="shared" ref="J89" si="240">J88*$D87</f>
        <v>120788.3014061765</v>
      </c>
      <c r="K89" s="90">
        <f t="shared" ref="K89" si="241">K88*$D87</f>
        <v>706731.31224477047</v>
      </c>
      <c r="L89" s="90">
        <f>L88*$D87</f>
        <v>1292674.3230833646</v>
      </c>
      <c r="M89" s="90">
        <f>M88*$D87</f>
        <v>1878617.3339219587</v>
      </c>
      <c r="N89" s="90">
        <f t="shared" ref="N89" si="242">N88*$D87</f>
        <v>2464560.3447605525</v>
      </c>
      <c r="O89" s="90">
        <f t="shared" ref="O89" si="243">O88*$D87</f>
        <v>3050503.3555991463</v>
      </c>
      <c r="P89" s="90">
        <f t="shared" ref="P89" si="244">P88*$D87</f>
        <v>3636446.3664377411</v>
      </c>
      <c r="Q89" s="90">
        <f t="shared" ref="Q89" si="245">Q88*$D87</f>
        <v>4222389.3772763349</v>
      </c>
      <c r="R89" s="90">
        <f t="shared" ref="R89" si="246">R88*$D87</f>
        <v>4808332.3881149283</v>
      </c>
      <c r="S89" s="90">
        <f t="shared" ref="S89" si="247">S88*$D87</f>
        <v>4808332.3881149283</v>
      </c>
      <c r="T89" s="90">
        <f t="shared" ref="T89" si="248">T88*$D87</f>
        <v>4808332.3881149283</v>
      </c>
      <c r="U89" s="90">
        <f t="shared" ref="U89" si="249">U88*$D87</f>
        <v>4808332.3881149283</v>
      </c>
      <c r="V89" s="90">
        <f t="shared" ref="V89" si="250">V88*$D87</f>
        <v>4808332.3881149283</v>
      </c>
      <c r="W89" s="90">
        <f t="shared" ref="W89" si="251">W88*$D87</f>
        <v>4808332.3881149283</v>
      </c>
      <c r="X89" s="90">
        <f t="shared" ref="X89" si="252">X88*$D87</f>
        <v>4808332.3881149283</v>
      </c>
      <c r="Y89" s="90">
        <f t="shared" ref="Y89" si="253">Y88*$D87</f>
        <v>4808332.3881149283</v>
      </c>
      <c r="Z89" s="90">
        <f t="shared" ref="Z89" si="254">Z88*$D87</f>
        <v>4808332.3881149283</v>
      </c>
    </row>
    <row r="90" spans="1:26" hidden="1" outlineLevel="1" x14ac:dyDescent="0.3">
      <c r="A90" t="e">
        <f>#REF!</f>
        <v>#REF!</v>
      </c>
      <c r="B90" t="s">
        <v>25</v>
      </c>
      <c r="C90" s="81">
        <v>4.4160511348943476</v>
      </c>
      <c r="D90" s="82">
        <v>19800000</v>
      </c>
      <c r="E90" s="83">
        <f t="shared" ref="E90:Z90" si="255">$C$90*E$15</f>
        <v>0</v>
      </c>
      <c r="F90" s="83">
        <f t="shared" si="255"/>
        <v>9815.7390744104086</v>
      </c>
      <c r="G90" s="83">
        <f t="shared" si="255"/>
        <v>288194.61617317633</v>
      </c>
      <c r="H90" s="83">
        <f t="shared" si="255"/>
        <v>646255.23861535569</v>
      </c>
      <c r="I90" s="83">
        <f t="shared" si="255"/>
        <v>892890.68959694775</v>
      </c>
      <c r="J90" s="83">
        <f t="shared" si="255"/>
        <v>911084.82027271239</v>
      </c>
      <c r="K90" s="83">
        <f t="shared" si="255"/>
        <v>929278.95094847714</v>
      </c>
      <c r="L90" s="83">
        <f t="shared" si="255"/>
        <v>947473.0816242419</v>
      </c>
      <c r="M90" s="83">
        <f t="shared" si="255"/>
        <v>965667.21230000653</v>
      </c>
      <c r="N90" s="83">
        <f t="shared" si="255"/>
        <v>983861.34297577129</v>
      </c>
      <c r="O90" s="83">
        <f t="shared" si="255"/>
        <v>1002055.473651536</v>
      </c>
      <c r="P90" s="83">
        <f t="shared" si="255"/>
        <v>1020249.6043273007</v>
      </c>
      <c r="Q90" s="83">
        <f t="shared" si="255"/>
        <v>1038443.7350030654</v>
      </c>
      <c r="R90" s="83">
        <f t="shared" si="255"/>
        <v>1056637.8656788301</v>
      </c>
      <c r="S90" s="83">
        <f t="shared" si="255"/>
        <v>1074831.9963545948</v>
      </c>
      <c r="T90" s="83">
        <f t="shared" si="255"/>
        <v>1093026.1270303596</v>
      </c>
      <c r="U90" s="83">
        <f t="shared" si="255"/>
        <v>1111220.2577061243</v>
      </c>
      <c r="V90" s="83">
        <f t="shared" si="255"/>
        <v>1129414.3883818889</v>
      </c>
      <c r="W90" s="83">
        <f t="shared" si="255"/>
        <v>1147608.5190576536</v>
      </c>
      <c r="X90" s="83">
        <f t="shared" si="255"/>
        <v>1165802.6497334184</v>
      </c>
      <c r="Y90" s="83">
        <f t="shared" si="255"/>
        <v>1183996.7804091829</v>
      </c>
      <c r="Z90" s="83">
        <f t="shared" si="255"/>
        <v>1202190.9110849476</v>
      </c>
    </row>
    <row r="91" spans="1:26" hidden="1" outlineLevel="1" x14ac:dyDescent="0.3">
      <c r="B91" t="s">
        <v>86</v>
      </c>
      <c r="C91" s="81"/>
      <c r="D91" s="82"/>
      <c r="E91" s="83"/>
      <c r="F91" s="83"/>
      <c r="G91" s="83"/>
      <c r="H91" s="83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idden="1" outlineLevel="1" x14ac:dyDescent="0.3">
      <c r="B92" t="s">
        <v>87</v>
      </c>
      <c r="C92" s="81"/>
      <c r="D92" s="82"/>
      <c r="E92" s="83"/>
      <c r="F92" s="83"/>
      <c r="G92" s="83"/>
      <c r="H92" s="83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idden="1" outlineLevel="1" x14ac:dyDescent="0.3">
      <c r="B93" t="s">
        <v>85</v>
      </c>
      <c r="C93" s="80" t="s">
        <v>91</v>
      </c>
      <c r="D93" s="82">
        <v>72209474.240630791</v>
      </c>
      <c r="E93" s="83">
        <v>0</v>
      </c>
      <c r="F93" s="83">
        <v>0</v>
      </c>
      <c r="G93" s="83">
        <v>0</v>
      </c>
      <c r="H93" s="83">
        <v>0</v>
      </c>
      <c r="I93" s="83">
        <v>55158.170678203416</v>
      </c>
      <c r="J93" s="83">
        <v>110316.34135640683</v>
      </c>
      <c r="K93" s="83">
        <v>659019.91365009779</v>
      </c>
      <c r="L93" s="83">
        <v>1207723.4859437891</v>
      </c>
      <c r="M93" s="83">
        <v>1756427.05823748</v>
      </c>
      <c r="N93" s="83">
        <v>2305130.6305311713</v>
      </c>
      <c r="O93" s="83">
        <v>2853834.2028248617</v>
      </c>
      <c r="P93" s="83">
        <v>3402537.7751185531</v>
      </c>
      <c r="Q93" s="83">
        <v>3951241.347412244</v>
      </c>
      <c r="R93" s="83">
        <v>4499944.9197059348</v>
      </c>
      <c r="S93" s="83">
        <v>4499944.9197059348</v>
      </c>
      <c r="T93" s="83">
        <v>4499944.9197059348</v>
      </c>
      <c r="U93" s="83">
        <v>4499944.9197059348</v>
      </c>
      <c r="V93" s="83">
        <v>4499944.9197059348</v>
      </c>
      <c r="W93" s="83">
        <v>4499944.9197059348</v>
      </c>
      <c r="X93" s="83">
        <v>4499944.9197059348</v>
      </c>
      <c r="Y93" s="83">
        <v>4499944.9197059348</v>
      </c>
      <c r="Z93" s="83">
        <v>4499944.9197059348</v>
      </c>
    </row>
    <row r="94" spans="1:26" hidden="1" outlineLevel="1" x14ac:dyDescent="0.3">
      <c r="E94" s="83"/>
      <c r="F94" s="83"/>
      <c r="G94" s="83"/>
      <c r="H94" s="83"/>
      <c r="I94">
        <f>I93/SUM($I93:$Z93)</f>
        <v>9.7107928357695317E-4</v>
      </c>
      <c r="J94">
        <f t="shared" ref="J94" si="256">J93/SUM($I93:$Z93)</f>
        <v>1.9421585671539063E-3</v>
      </c>
      <c r="K94">
        <f>K93/SUM($I93:$Z93)</f>
        <v>1.1602280817901973E-2</v>
      </c>
      <c r="L94">
        <f>L93/SUM($I93:$Z93)</f>
        <v>2.1262403068650047E-2</v>
      </c>
      <c r="M94">
        <f>M93/SUM($I93:$Z93)</f>
        <v>3.0922525319398111E-2</v>
      </c>
      <c r="N94">
        <f>N93/SUM($I93:$Z93)</f>
        <v>4.058264757014618E-2</v>
      </c>
      <c r="O94">
        <f t="shared" ref="O94" si="257">O93/SUM($I93:$Z93)</f>
        <v>5.0242769820894241E-2</v>
      </c>
      <c r="P94">
        <f t="shared" ref="P94" si="258">P93/SUM($I93:$Z93)</f>
        <v>5.9902892071642309E-2</v>
      </c>
      <c r="Q94">
        <f t="shared" ref="Q94" si="259">Q93/SUM($I93:$Z93)</f>
        <v>6.9563014322390371E-2</v>
      </c>
      <c r="R94">
        <f t="shared" ref="R94" si="260">R93/SUM($I93:$Z93)</f>
        <v>7.9223136573138439E-2</v>
      </c>
      <c r="S94">
        <f t="shared" ref="S94" si="261">S93/SUM($I93:$Z93)</f>
        <v>7.9223136573138439E-2</v>
      </c>
      <c r="T94">
        <f t="shared" ref="T94" si="262">T93/SUM($I93:$Z93)</f>
        <v>7.9223136573138439E-2</v>
      </c>
      <c r="U94">
        <f t="shared" ref="U94" si="263">U93/SUM($I93:$Z93)</f>
        <v>7.9223136573138439E-2</v>
      </c>
      <c r="V94">
        <f t="shared" ref="V94" si="264">V93/SUM($I93:$Z93)</f>
        <v>7.9223136573138439E-2</v>
      </c>
      <c r="W94">
        <f t="shared" ref="W94" si="265">W93/SUM($I93:$Z93)</f>
        <v>7.9223136573138439E-2</v>
      </c>
      <c r="X94">
        <f t="shared" ref="X94" si="266">X93/SUM($I93:$Z93)</f>
        <v>7.9223136573138439E-2</v>
      </c>
      <c r="Y94">
        <f t="shared" ref="Y94" si="267">Y93/SUM($I93:$Z93)</f>
        <v>7.9223136573138439E-2</v>
      </c>
      <c r="Z94">
        <f t="shared" ref="Z94" si="268">Z93/SUM($I93:$Z93)</f>
        <v>7.9223136573138439E-2</v>
      </c>
    </row>
    <row r="95" spans="1:26" hidden="1" outlineLevel="1" x14ac:dyDescent="0.3">
      <c r="E95" s="83"/>
      <c r="F95" s="83"/>
      <c r="G95" s="83"/>
      <c r="H95" s="83"/>
      <c r="I95" s="90">
        <f>I94*$D93</f>
        <v>70121.124513060204</v>
      </c>
      <c r="J95" s="90">
        <f t="shared" ref="J95" si="269">J94*$D93</f>
        <v>140242.24902612041</v>
      </c>
      <c r="K95" s="90">
        <f>K94*$D93</f>
        <v>837794.59785285732</v>
      </c>
      <c r="L95" s="90">
        <f>L94*$D93</f>
        <v>1535346.9466795947</v>
      </c>
      <c r="M95" s="90">
        <f>M94*$D93</f>
        <v>2232899.2955063311</v>
      </c>
      <c r="N95" s="90">
        <f t="shared" ref="N95" si="270">N94*$D93</f>
        <v>2930451.6443330683</v>
      </c>
      <c r="O95" s="90">
        <f t="shared" ref="O95" si="271">O94*$D93</f>
        <v>3628003.993159805</v>
      </c>
      <c r="P95" s="90">
        <f t="shared" ref="P95" si="272">P94*$D93</f>
        <v>4325556.3419865416</v>
      </c>
      <c r="Q95" s="90">
        <f t="shared" ref="Q95" si="273">Q94*$D93</f>
        <v>5023108.6908132778</v>
      </c>
      <c r="R95" s="90">
        <f t="shared" ref="R95" si="274">R94*$D93</f>
        <v>5720661.039640015</v>
      </c>
      <c r="S95" s="90">
        <f t="shared" ref="S95" si="275">S94*$D93</f>
        <v>5720661.039640015</v>
      </c>
      <c r="T95" s="90">
        <f t="shared" ref="T95" si="276">T94*$D93</f>
        <v>5720661.039640015</v>
      </c>
      <c r="U95" s="90">
        <f t="shared" ref="U95" si="277">U94*$D93</f>
        <v>5720661.039640015</v>
      </c>
      <c r="V95" s="90">
        <f t="shared" ref="V95" si="278">V94*$D93</f>
        <v>5720661.039640015</v>
      </c>
      <c r="W95" s="90">
        <f t="shared" ref="W95" si="279">W94*$D93</f>
        <v>5720661.039640015</v>
      </c>
      <c r="X95" s="90">
        <f t="shared" ref="X95" si="280">X94*$D93</f>
        <v>5720661.039640015</v>
      </c>
      <c r="Y95" s="90">
        <f t="shared" ref="Y95" si="281">Y94*$D93</f>
        <v>5720661.039640015</v>
      </c>
      <c r="Z95" s="90">
        <f t="shared" ref="Z95" si="282">Z94*$D93</f>
        <v>5720661.039640015</v>
      </c>
    </row>
    <row r="96" spans="1:26" hidden="1" outlineLevel="1" x14ac:dyDescent="0.3">
      <c r="A96" t="e">
        <f>#REF!</f>
        <v>#REF!</v>
      </c>
      <c r="B96" t="s">
        <v>25</v>
      </c>
      <c r="C96" s="81"/>
      <c r="D96" s="82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7" hidden="1" outlineLevel="1" x14ac:dyDescent="0.3">
      <c r="B97" t="s">
        <v>86</v>
      </c>
      <c r="C97" s="81"/>
      <c r="D97" s="82"/>
      <c r="E97" s="83"/>
      <c r="F97" s="83"/>
      <c r="G97" s="83"/>
      <c r="H97" s="83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7" hidden="1" outlineLevel="1" x14ac:dyDescent="0.3">
      <c r="B98" t="s">
        <v>87</v>
      </c>
      <c r="C98" s="81"/>
      <c r="D98" s="82"/>
      <c r="E98" s="83"/>
      <c r="F98" s="83"/>
      <c r="G98" s="83"/>
      <c r="H98" s="83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7" hidden="1" outlineLevel="1" x14ac:dyDescent="0.3">
      <c r="B99" t="s">
        <v>85</v>
      </c>
      <c r="C99" s="80" t="s">
        <v>91</v>
      </c>
      <c r="D99" s="82">
        <v>41950936.009562209</v>
      </c>
      <c r="E99" s="83">
        <v>0</v>
      </c>
      <c r="F99" s="83">
        <v>0</v>
      </c>
      <c r="G99" s="83">
        <v>0</v>
      </c>
      <c r="H99" s="83">
        <v>0</v>
      </c>
      <c r="I99" s="83">
        <v>30458.286563133563</v>
      </c>
      <c r="J99" s="83">
        <v>60916.573126267125</v>
      </c>
      <c r="K99" s="83">
        <v>380135.89348105574</v>
      </c>
      <c r="L99" s="83">
        <v>699355.2138358443</v>
      </c>
      <c r="M99" s="83">
        <v>1018574.5341906329</v>
      </c>
      <c r="N99" s="83">
        <v>1337793.8545454214</v>
      </c>
      <c r="O99" s="83">
        <v>1657013.17490021</v>
      </c>
      <c r="P99" s="83">
        <v>1976232.4952549986</v>
      </c>
      <c r="Q99" s="83">
        <v>2295451.8156097876</v>
      </c>
      <c r="R99" s="83">
        <v>2614671.1359645762</v>
      </c>
      <c r="S99" s="83">
        <v>2614671.1359645762</v>
      </c>
      <c r="T99" s="83">
        <v>2614671.1359645762</v>
      </c>
      <c r="U99" s="83">
        <v>2614671.1359645762</v>
      </c>
      <c r="V99" s="83">
        <v>2614671.1359645762</v>
      </c>
      <c r="W99" s="83">
        <v>2614671.1359645762</v>
      </c>
      <c r="X99" s="83">
        <v>2614671.1359645762</v>
      </c>
      <c r="Y99" s="83">
        <v>2614671.1359645762</v>
      </c>
      <c r="Z99" s="83">
        <v>2614671.1359645762</v>
      </c>
    </row>
    <row r="100" spans="1:27" hidden="1" outlineLevel="1" x14ac:dyDescent="0.3">
      <c r="E100" s="83"/>
      <c r="F100" s="83"/>
      <c r="G100" s="83"/>
      <c r="H100" s="83"/>
      <c r="I100">
        <f t="shared" ref="I100:N100" si="283">I99/SUM($I99:$Z99)</f>
        <v>9.2331491317332304E-4</v>
      </c>
      <c r="J100">
        <f t="shared" si="283"/>
        <v>1.8466298263466461E-3</v>
      </c>
      <c r="K100">
        <f t="shared" si="283"/>
        <v>1.1523469606735982E-2</v>
      </c>
      <c r="L100">
        <f t="shared" si="283"/>
        <v>2.1200309387125318E-2</v>
      </c>
      <c r="M100">
        <f t="shared" si="283"/>
        <v>3.0877149167514651E-2</v>
      </c>
      <c r="N100">
        <f t="shared" si="283"/>
        <v>4.0553988947903984E-2</v>
      </c>
      <c r="O100">
        <f t="shared" ref="O100" si="284">O99/SUM($I99:$Z99)</f>
        <v>5.023082872829332E-2</v>
      </c>
      <c r="P100">
        <f t="shared" ref="P100" si="285">P99/SUM($I99:$Z99)</f>
        <v>5.9907668508682656E-2</v>
      </c>
      <c r="Q100">
        <f t="shared" ref="Q100" si="286">Q99/SUM($I99:$Z99)</f>
        <v>6.9584508289072006E-2</v>
      </c>
      <c r="R100">
        <f t="shared" ref="R100" si="287">R99/SUM($I99:$Z99)</f>
        <v>7.9261348069461335E-2</v>
      </c>
      <c r="S100">
        <f t="shared" ref="S100" si="288">S99/SUM($I99:$Z99)</f>
        <v>7.9261348069461335E-2</v>
      </c>
      <c r="T100">
        <f t="shared" ref="T100" si="289">T99/SUM($I99:$Z99)</f>
        <v>7.9261348069461335E-2</v>
      </c>
      <c r="U100">
        <f t="shared" ref="U100" si="290">U99/SUM($I99:$Z99)</f>
        <v>7.9261348069461335E-2</v>
      </c>
      <c r="V100">
        <f t="shared" ref="V100" si="291">V99/SUM($I99:$Z99)</f>
        <v>7.9261348069461335E-2</v>
      </c>
      <c r="W100">
        <f t="shared" ref="W100" si="292">W99/SUM($I99:$Z99)</f>
        <v>7.9261348069461335E-2</v>
      </c>
      <c r="X100">
        <f t="shared" ref="X100" si="293">X99/SUM($I99:$Z99)</f>
        <v>7.9261348069461335E-2</v>
      </c>
      <c r="Y100">
        <f t="shared" ref="Y100" si="294">Y99/SUM($I99:$Z99)</f>
        <v>7.9261348069461335E-2</v>
      </c>
      <c r="Z100">
        <f t="shared" ref="Z100" si="295">Z99/SUM($I99:$Z99)</f>
        <v>7.9261348069461335E-2</v>
      </c>
    </row>
    <row r="101" spans="1:27" hidden="1" outlineLevel="1" x14ac:dyDescent="0.3">
      <c r="E101" s="83"/>
      <c r="F101" s="83"/>
      <c r="G101" s="83"/>
      <c r="H101" s="83"/>
      <c r="I101" s="90">
        <f>I100*$D99</f>
        <v>38733.924839208565</v>
      </c>
      <c r="J101" s="90">
        <f t="shared" ref="J101" si="296">J100*$D99</f>
        <v>77467.849678417129</v>
      </c>
      <c r="K101" s="90">
        <f>K100*$D99</f>
        <v>483420.33608031622</v>
      </c>
      <c r="L101" s="90">
        <f>L100*$D99</f>
        <v>889372.82248221524</v>
      </c>
      <c r="M101" s="90">
        <f>M100*$D99</f>
        <v>1295325.3088841143</v>
      </c>
      <c r="N101" s="90">
        <f t="shared" ref="N101" si="297">N100*$D99</f>
        <v>1701277.795286013</v>
      </c>
      <c r="O101" s="90">
        <f t="shared" ref="O101" si="298">O100*$D99</f>
        <v>2107230.2816879121</v>
      </c>
      <c r="P101" s="90">
        <f t="shared" ref="P101" si="299">P100*$D99</f>
        <v>2513182.7680898113</v>
      </c>
      <c r="Q101" s="90">
        <f t="shared" ref="Q101" si="300">Q100*$D99</f>
        <v>2919135.254491711</v>
      </c>
      <c r="R101" s="90">
        <f t="shared" ref="R101" si="301">R100*$D99</f>
        <v>3325087.7408936098</v>
      </c>
      <c r="S101" s="90">
        <f t="shared" ref="S101" si="302">S100*$D99</f>
        <v>3325087.7408936098</v>
      </c>
      <c r="T101" s="90">
        <f t="shared" ref="T101" si="303">T100*$D99</f>
        <v>3325087.7408936098</v>
      </c>
      <c r="U101" s="90">
        <f t="shared" ref="U101" si="304">U100*$D99</f>
        <v>3325087.7408936098</v>
      </c>
      <c r="V101" s="90">
        <f t="shared" ref="V101" si="305">V100*$D99</f>
        <v>3325087.7408936098</v>
      </c>
      <c r="W101" s="90">
        <f t="shared" ref="W101" si="306">W100*$D99</f>
        <v>3325087.7408936098</v>
      </c>
      <c r="X101" s="90">
        <f t="shared" ref="X101" si="307">X100*$D99</f>
        <v>3325087.7408936098</v>
      </c>
      <c r="Y101" s="90">
        <f t="shared" ref="Y101" si="308">Y100*$D99</f>
        <v>3325087.7408936098</v>
      </c>
      <c r="Z101" s="90">
        <f t="shared" ref="Z101" si="309">Z100*$D99</f>
        <v>3325087.7408936098</v>
      </c>
    </row>
    <row r="102" spans="1:27" x14ac:dyDescent="0.3">
      <c r="A102" s="86" t="e">
        <f>#REF!</f>
        <v>#REF!</v>
      </c>
      <c r="B102" s="42" t="s">
        <v>88</v>
      </c>
      <c r="C102" s="75"/>
      <c r="D102" s="44">
        <f>SUM(D103:D106)</f>
        <v>5122747.9977108352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x14ac:dyDescent="0.3">
      <c r="A103" s="42"/>
      <c r="B103" s="42" t="s">
        <v>25</v>
      </c>
      <c r="C103" s="42"/>
      <c r="D103" s="44">
        <f>D107</f>
        <v>0</v>
      </c>
      <c r="E103" s="42"/>
      <c r="F103" s="84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7" x14ac:dyDescent="0.3">
      <c r="A104" s="42"/>
      <c r="B104" s="16" t="s">
        <v>86</v>
      </c>
      <c r="C104" s="42"/>
      <c r="D104" s="44">
        <v>0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7" x14ac:dyDescent="0.3">
      <c r="A105" s="42"/>
      <c r="B105" s="42" t="s">
        <v>87</v>
      </c>
      <c r="C105" s="42"/>
      <c r="D105" s="44"/>
      <c r="E105" s="42"/>
      <c r="F105" s="84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7" collapsed="1" x14ac:dyDescent="0.3">
      <c r="A106" s="42"/>
      <c r="B106" s="42" t="s">
        <v>85</v>
      </c>
      <c r="C106" s="42"/>
      <c r="D106" s="44">
        <f>D110</f>
        <v>5122747.9977108352</v>
      </c>
      <c r="E106" s="42"/>
      <c r="F106" s="84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7" hidden="1" outlineLevel="1" x14ac:dyDescent="0.3">
      <c r="A107" t="e">
        <f>#REF!</f>
        <v>#REF!</v>
      </c>
      <c r="B107" t="s">
        <v>25</v>
      </c>
      <c r="C107" s="81"/>
      <c r="D107" s="82"/>
      <c r="E107" s="83"/>
      <c r="F107" s="83"/>
      <c r="G107" s="83"/>
      <c r="H107" s="83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7" hidden="1" outlineLevel="1" x14ac:dyDescent="0.3">
      <c r="B108" t="s">
        <v>86</v>
      </c>
      <c r="C108" s="81"/>
      <c r="D108" s="82"/>
      <c r="E108" s="83"/>
      <c r="F108" s="83"/>
      <c r="G108" s="83"/>
      <c r="H108" s="83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7" hidden="1" outlineLevel="1" x14ac:dyDescent="0.3">
      <c r="B109" t="s">
        <v>87</v>
      </c>
      <c r="C109" s="81"/>
      <c r="D109" s="82"/>
      <c r="E109" s="83"/>
      <c r="F109" s="83"/>
      <c r="G109" s="83"/>
      <c r="H109" s="83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7" hidden="1" outlineLevel="1" x14ac:dyDescent="0.3">
      <c r="B110" t="s">
        <v>85</v>
      </c>
      <c r="C110" s="80" t="s">
        <v>91</v>
      </c>
      <c r="D110" s="82">
        <v>5122747.9977108352</v>
      </c>
      <c r="E110" s="83">
        <v>0</v>
      </c>
      <c r="F110" s="83">
        <v>0</v>
      </c>
      <c r="G110" s="83">
        <v>0</v>
      </c>
      <c r="H110" s="83">
        <v>0</v>
      </c>
      <c r="I110" s="83">
        <v>3539.8230088495575</v>
      </c>
      <c r="J110" s="83">
        <v>7079.646017699115</v>
      </c>
      <c r="K110" s="83">
        <v>46110.619469026547</v>
      </c>
      <c r="L110" s="83">
        <v>85141.592920353985</v>
      </c>
      <c r="M110" s="83">
        <v>124172.56637168142</v>
      </c>
      <c r="N110" s="83">
        <v>163203.53982300885</v>
      </c>
      <c r="O110" s="83">
        <v>202234.51327433629</v>
      </c>
      <c r="P110" s="83">
        <v>241265.48672566374</v>
      </c>
      <c r="Q110" s="83">
        <v>280296.46017699118</v>
      </c>
      <c r="R110" s="83">
        <v>319327.4336283186</v>
      </c>
      <c r="S110" s="83">
        <v>319327.4336283186</v>
      </c>
      <c r="T110" s="83">
        <v>319327.4336283186</v>
      </c>
      <c r="U110" s="83">
        <v>319327.4336283186</v>
      </c>
      <c r="V110" s="83">
        <v>319327.4336283186</v>
      </c>
      <c r="W110" s="83">
        <v>319327.4336283186</v>
      </c>
      <c r="X110" s="83">
        <v>319327.4336283186</v>
      </c>
      <c r="Y110" s="83">
        <v>319327.4336283186</v>
      </c>
      <c r="Z110" s="83">
        <v>319327.4336283186</v>
      </c>
    </row>
    <row r="111" spans="1:27" ht="16.5" hidden="1" customHeight="1" outlineLevel="1" x14ac:dyDescent="0.3">
      <c r="E111" s="83"/>
      <c r="F111" s="83"/>
      <c r="G111" s="83"/>
      <c r="H111" s="83"/>
      <c r="I111">
        <f>I110/SUM($I110:$Z110)</f>
        <v>8.7902428304581883E-4</v>
      </c>
      <c r="J111">
        <f t="shared" ref="J111" si="310">J110/SUM($I110:$Z110)</f>
        <v>1.7580485660916377E-3</v>
      </c>
      <c r="K111">
        <f>K110/SUM($I110:$Z110)</f>
        <v>1.1450390067025598E-2</v>
      </c>
      <c r="L111">
        <f>L110/SUM($I110:$Z110)</f>
        <v>2.1142731567959559E-2</v>
      </c>
      <c r="M111">
        <f>M110/SUM($I110:$Z110)</f>
        <v>3.0835073068893517E-2</v>
      </c>
      <c r="N111">
        <f>N110/SUM($I110:$Z110)</f>
        <v>4.0527414569827475E-2</v>
      </c>
      <c r="O111">
        <f t="shared" ref="O111" si="311">O110/SUM($I110:$Z110)</f>
        <v>5.0219756070761443E-2</v>
      </c>
      <c r="P111">
        <f t="shared" ref="P111" si="312">P110/SUM($I110:$Z110)</f>
        <v>5.9912097571695404E-2</v>
      </c>
      <c r="Q111">
        <f t="shared" ref="Q111" si="313">Q110/SUM($I110:$Z110)</f>
        <v>6.9604439072629365E-2</v>
      </c>
      <c r="R111">
        <f t="shared" ref="R111" si="314">R110/SUM($I110:$Z110)</f>
        <v>7.9296780573563319E-2</v>
      </c>
      <c r="S111">
        <f t="shared" ref="S111" si="315">S110/SUM($I110:$Z110)</f>
        <v>7.9296780573563319E-2</v>
      </c>
      <c r="T111">
        <f t="shared" ref="T111" si="316">T110/SUM($I110:$Z110)</f>
        <v>7.9296780573563319E-2</v>
      </c>
      <c r="U111">
        <f t="shared" ref="U111" si="317">U110/SUM($I110:$Z110)</f>
        <v>7.9296780573563319E-2</v>
      </c>
      <c r="V111">
        <f t="shared" ref="V111" si="318">V110/SUM($I110:$Z110)</f>
        <v>7.9296780573563319E-2</v>
      </c>
      <c r="W111">
        <f t="shared" ref="W111" si="319">W110/SUM($I110:$Z110)</f>
        <v>7.9296780573563319E-2</v>
      </c>
      <c r="X111">
        <f t="shared" ref="X111" si="320">X110/SUM($I110:$Z110)</f>
        <v>7.9296780573563319E-2</v>
      </c>
      <c r="Y111">
        <f t="shared" ref="Y111" si="321">Y110/SUM($I110:$Z110)</f>
        <v>7.9296780573563319E-2</v>
      </c>
      <c r="Z111">
        <f t="shared" ref="Z111" si="322">Z110/SUM($I110:$Z110)</f>
        <v>7.9296780573563319E-2</v>
      </c>
    </row>
    <row r="112" spans="1:27" ht="16.5" hidden="1" customHeight="1" outlineLevel="1" x14ac:dyDescent="0.3">
      <c r="E112" s="83"/>
      <c r="F112" s="83"/>
      <c r="G112" s="83"/>
      <c r="H112" s="83"/>
      <c r="I112" s="90">
        <f>I111*$D110</f>
        <v>4503.019885912171</v>
      </c>
      <c r="J112" s="90">
        <f t="shared" ref="J112" si="323">J111*$D110</f>
        <v>9006.0397718243421</v>
      </c>
      <c r="K112" s="90">
        <f>K111*$D110</f>
        <v>58657.46278886342</v>
      </c>
      <c r="L112" s="90">
        <f>L111*$D110</f>
        <v>108308.88580590249</v>
      </c>
      <c r="M112" s="90">
        <f>M111*$D110</f>
        <v>157960.30882294156</v>
      </c>
      <c r="N112" s="90">
        <f t="shared" ref="N112" si="324">N111*$D110</f>
        <v>207611.73183998061</v>
      </c>
      <c r="O112" s="90">
        <f t="shared" ref="O112" si="325">O111*$D110</f>
        <v>257263.15485701975</v>
      </c>
      <c r="P112" s="90">
        <f t="shared" ref="P112" si="326">P111*$D110</f>
        <v>306914.5778740588</v>
      </c>
      <c r="Q112" s="90">
        <f t="shared" ref="Q112" si="327">Q111*$D110</f>
        <v>356566.00089109788</v>
      </c>
      <c r="R112" s="90">
        <f t="shared" ref="R112" si="328">R111*$D110</f>
        <v>406217.42390813696</v>
      </c>
      <c r="S112" s="90">
        <f t="shared" ref="S112" si="329">S111*$D110</f>
        <v>406217.42390813696</v>
      </c>
      <c r="T112" s="90">
        <f t="shared" ref="T112" si="330">T111*$D110</f>
        <v>406217.42390813696</v>
      </c>
      <c r="U112" s="90">
        <f t="shared" ref="U112" si="331">U111*$D110</f>
        <v>406217.42390813696</v>
      </c>
      <c r="V112" s="90">
        <f t="shared" ref="V112" si="332">V111*$D110</f>
        <v>406217.42390813696</v>
      </c>
      <c r="W112" s="90">
        <f t="shared" ref="W112" si="333">W111*$D110</f>
        <v>406217.42390813696</v>
      </c>
      <c r="X112" s="90">
        <f t="shared" ref="X112" si="334">X111*$D110</f>
        <v>406217.42390813696</v>
      </c>
      <c r="Y112" s="90">
        <f t="shared" ref="Y112" si="335">Y111*$D110</f>
        <v>406217.42390813696</v>
      </c>
      <c r="Z112" s="90">
        <f t="shared" ref="Z112" si="336">Z111*$D110</f>
        <v>406217.42390813696</v>
      </c>
    </row>
    <row r="113" spans="1:27" x14ac:dyDescent="0.3">
      <c r="C113" s="76"/>
      <c r="D113" s="29"/>
    </row>
    <row r="114" spans="1:27" x14ac:dyDescent="0.3">
      <c r="A114" s="41" t="e">
        <f>#REF!</f>
        <v>#REF!</v>
      </c>
      <c r="B114" s="41"/>
      <c r="C114" s="77"/>
      <c r="D114" s="43">
        <f>D115+D146</f>
        <v>292009135.61650741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collapsed="1" x14ac:dyDescent="0.3">
      <c r="A115" s="86" t="e">
        <f>#REF!</f>
        <v>#REF!</v>
      </c>
      <c r="B115" s="42"/>
      <c r="C115" s="75"/>
      <c r="D115" s="44">
        <f>SUM(D116:D145)</f>
        <v>115501036.01000001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idden="1" outlineLevel="1" x14ac:dyDescent="0.3">
      <c r="A116" s="2" t="e">
        <f>#REF!</f>
        <v>#REF!</v>
      </c>
      <c r="B116" t="s">
        <v>25</v>
      </c>
      <c r="C116" s="81">
        <v>99.180071603221649</v>
      </c>
      <c r="D116" s="82">
        <f>39800000-21500000+8700000-100000</f>
        <v>26900000</v>
      </c>
      <c r="E116" s="83">
        <f t="shared" ref="E116:Z116" si="337">$C$116*E$14</f>
        <v>0</v>
      </c>
      <c r="F116" s="83">
        <f t="shared" si="337"/>
        <v>220451.63756054564</v>
      </c>
      <c r="G116" s="83">
        <f t="shared" si="337"/>
        <v>6252109.8873418253</v>
      </c>
      <c r="H116" s="83">
        <f t="shared" si="337"/>
        <v>8041681.8300631139</v>
      </c>
      <c r="I116" s="83">
        <f t="shared" si="337"/>
        <v>5539184.4299448729</v>
      </c>
      <c r="J116" s="83">
        <f t="shared" si="337"/>
        <v>408621.89500527317</v>
      </c>
      <c r="K116" s="83">
        <f t="shared" si="337"/>
        <v>408621.89500527317</v>
      </c>
      <c r="L116" s="83">
        <f t="shared" si="337"/>
        <v>408621.89500527317</v>
      </c>
      <c r="M116" s="83">
        <f t="shared" si="337"/>
        <v>408621.89500527317</v>
      </c>
      <c r="N116" s="83">
        <f t="shared" si="337"/>
        <v>408621.89500527317</v>
      </c>
      <c r="O116" s="83">
        <f t="shared" si="337"/>
        <v>408621.89500527317</v>
      </c>
      <c r="P116" s="83">
        <f t="shared" si="337"/>
        <v>408621.89500527317</v>
      </c>
      <c r="Q116" s="83">
        <f t="shared" si="337"/>
        <v>408621.89500527317</v>
      </c>
      <c r="R116" s="83">
        <f t="shared" si="337"/>
        <v>408621.89500527317</v>
      </c>
      <c r="S116" s="83">
        <f t="shared" si="337"/>
        <v>408621.89500527317</v>
      </c>
      <c r="T116" s="83">
        <f t="shared" si="337"/>
        <v>408621.89500527317</v>
      </c>
      <c r="U116" s="83">
        <f t="shared" si="337"/>
        <v>408621.89500527317</v>
      </c>
      <c r="V116" s="83">
        <f t="shared" si="337"/>
        <v>408621.89500527317</v>
      </c>
      <c r="W116" s="83">
        <f t="shared" si="337"/>
        <v>408621.89500527317</v>
      </c>
      <c r="X116" s="83">
        <f t="shared" si="337"/>
        <v>408621.89500527317</v>
      </c>
      <c r="Y116" s="83">
        <f t="shared" si="337"/>
        <v>408621.89500527317</v>
      </c>
      <c r="Z116" s="83">
        <f t="shared" si="337"/>
        <v>408621.89500527317</v>
      </c>
    </row>
    <row r="117" spans="1:27" hidden="1" outlineLevel="1" x14ac:dyDescent="0.3">
      <c r="A117" s="2"/>
      <c r="B117" t="s">
        <v>86</v>
      </c>
      <c r="C117" s="81"/>
      <c r="D117" s="82"/>
      <c r="E117" s="83"/>
      <c r="F117" s="83"/>
      <c r="G117" s="83"/>
      <c r="H117" s="83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7" hidden="1" outlineLevel="1" x14ac:dyDescent="0.3">
      <c r="A118" s="2"/>
      <c r="B118" t="s">
        <v>87</v>
      </c>
      <c r="C118" s="81"/>
      <c r="D118" s="82"/>
      <c r="E118" s="83"/>
      <c r="F118" s="83"/>
      <c r="G118" s="83"/>
      <c r="H118" s="83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7" s="16" customFormat="1" hidden="1" outlineLevel="1" x14ac:dyDescent="0.3">
      <c r="A119" s="87"/>
      <c r="B119" s="16" t="s">
        <v>85</v>
      </c>
      <c r="C119" s="93">
        <v>23.67</v>
      </c>
      <c r="D119" s="74">
        <v>67211036.010000005</v>
      </c>
      <c r="E119" s="79">
        <v>0</v>
      </c>
      <c r="F119" s="79">
        <v>0</v>
      </c>
      <c r="G119" s="79">
        <v>0</v>
      </c>
      <c r="H119" s="79">
        <v>0</v>
      </c>
      <c r="I119" s="79">
        <v>828450</v>
      </c>
      <c r="J119" s="79">
        <v>828450</v>
      </c>
      <c r="K119" s="79">
        <v>8194267.0012499997</v>
      </c>
      <c r="L119" s="79">
        <v>8194267.0012499997</v>
      </c>
      <c r="M119" s="79">
        <v>8194267.0012499997</v>
      </c>
      <c r="N119" s="79">
        <v>8194267.0012499997</v>
      </c>
      <c r="O119" s="79">
        <v>8194267.0012499997</v>
      </c>
      <c r="P119" s="79">
        <v>8194267.0012499997</v>
      </c>
      <c r="Q119" s="79">
        <v>8194267.0012499997</v>
      </c>
      <c r="R119" s="79">
        <v>8194267.0012499997</v>
      </c>
      <c r="S119" s="79">
        <v>0</v>
      </c>
      <c r="T119" s="79">
        <v>0</v>
      </c>
      <c r="U119" s="79">
        <v>0</v>
      </c>
      <c r="V119" s="79">
        <v>0</v>
      </c>
      <c r="W119" s="79">
        <v>0</v>
      </c>
      <c r="X119" s="79">
        <v>0</v>
      </c>
      <c r="Y119" s="79">
        <v>0</v>
      </c>
      <c r="Z119" s="79">
        <v>0</v>
      </c>
    </row>
    <row r="120" spans="1:27" hidden="1" outlineLevel="1" x14ac:dyDescent="0.3">
      <c r="A120" s="2" t="s">
        <v>11</v>
      </c>
      <c r="B120" t="s">
        <v>25</v>
      </c>
      <c r="C120" s="81"/>
      <c r="D120" s="82">
        <v>0</v>
      </c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7" hidden="1" outlineLevel="1" x14ac:dyDescent="0.3">
      <c r="A121" s="2"/>
      <c r="B121" t="s">
        <v>86</v>
      </c>
      <c r="C121" s="81"/>
      <c r="D121" s="82"/>
      <c r="E121" s="83"/>
      <c r="F121" s="83"/>
      <c r="G121" s="83"/>
      <c r="H121" s="83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7" hidden="1" outlineLevel="1" x14ac:dyDescent="0.3">
      <c r="A122" s="2"/>
      <c r="B122" t="s">
        <v>87</v>
      </c>
      <c r="C122" s="81"/>
      <c r="D122" s="82"/>
      <c r="E122" s="83"/>
      <c r="F122" s="83"/>
      <c r="G122" s="83"/>
      <c r="H122" s="83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7" hidden="1" outlineLevel="1" x14ac:dyDescent="0.3">
      <c r="A123" s="2"/>
      <c r="B123" t="s">
        <v>85</v>
      </c>
      <c r="C123" s="80" t="s">
        <v>91</v>
      </c>
      <c r="D123" s="74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829500</v>
      </c>
      <c r="J123" s="83">
        <v>829500</v>
      </c>
      <c r="K123" s="83">
        <v>8204652.6374999993</v>
      </c>
      <c r="L123" s="83">
        <v>8204652.6374999993</v>
      </c>
      <c r="M123" s="83">
        <v>8204652.6374999993</v>
      </c>
      <c r="N123" s="83">
        <v>8204652.6374999993</v>
      </c>
      <c r="O123" s="83">
        <v>8204652.6374999993</v>
      </c>
      <c r="P123" s="83">
        <v>8204652.6374999993</v>
      </c>
      <c r="Q123" s="83">
        <v>8204652.6374999993</v>
      </c>
      <c r="R123" s="83">
        <v>8204652.6374999993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83">
        <v>0</v>
      </c>
      <c r="Z123" s="83">
        <v>0</v>
      </c>
    </row>
    <row r="124" spans="1:27" hidden="1" outlineLevel="1" x14ac:dyDescent="0.3">
      <c r="A124" s="2" t="s">
        <v>90</v>
      </c>
      <c r="B124" t="s">
        <v>25</v>
      </c>
      <c r="C124" s="81">
        <f>D124/Z15</f>
        <v>3.6733359853045058</v>
      </c>
      <c r="D124" s="82">
        <v>1000000</v>
      </c>
      <c r="E124" s="83">
        <v>0</v>
      </c>
      <c r="F124" s="83">
        <v>0</v>
      </c>
      <c r="G124" s="83">
        <v>0</v>
      </c>
      <c r="H124" s="83">
        <v>200000</v>
      </c>
      <c r="I124" s="83">
        <v>400000</v>
      </c>
      <c r="J124" s="83">
        <v>400000</v>
      </c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7" hidden="1" outlineLevel="1" x14ac:dyDescent="0.3">
      <c r="A125" s="2"/>
      <c r="B125" t="s">
        <v>86</v>
      </c>
      <c r="C125" s="81"/>
      <c r="D125" s="82"/>
      <c r="E125" s="83"/>
      <c r="F125" s="83"/>
      <c r="G125" s="83"/>
      <c r="H125" s="83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7" hidden="1" outlineLevel="1" x14ac:dyDescent="0.3">
      <c r="A126" s="2"/>
      <c r="B126" t="s">
        <v>87</v>
      </c>
      <c r="C126" s="81"/>
      <c r="D126" s="82"/>
      <c r="E126" s="83"/>
      <c r="F126" s="83"/>
      <c r="G126" s="83"/>
      <c r="H126" s="83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7" hidden="1" outlineLevel="1" x14ac:dyDescent="0.3">
      <c r="A127" s="2"/>
      <c r="B127" t="s">
        <v>85</v>
      </c>
      <c r="C127" s="80" t="s">
        <v>91</v>
      </c>
      <c r="D127" s="82">
        <v>1540000</v>
      </c>
      <c r="E127" s="83">
        <v>0</v>
      </c>
      <c r="F127" s="83">
        <v>0</v>
      </c>
      <c r="G127" s="83">
        <v>0</v>
      </c>
      <c r="H127" s="83">
        <v>0</v>
      </c>
      <c r="I127" s="83">
        <v>1540000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</row>
    <row r="128" spans="1:27" hidden="1" outlineLevel="1" x14ac:dyDescent="0.3">
      <c r="A128" s="2" t="s">
        <v>89</v>
      </c>
      <c r="B128" t="s">
        <v>25</v>
      </c>
      <c r="C128" s="81"/>
      <c r="D128" s="82"/>
      <c r="E128" s="83"/>
      <c r="F128" s="83"/>
      <c r="G128" s="83"/>
      <c r="H128" s="83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idden="1" outlineLevel="1" x14ac:dyDescent="0.3">
      <c r="A129" s="2"/>
      <c r="B129" t="s">
        <v>86</v>
      </c>
      <c r="C129" s="81"/>
      <c r="D129" s="82"/>
      <c r="E129" s="83"/>
      <c r="F129" s="83"/>
      <c r="G129" s="83"/>
      <c r="H129" s="83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idden="1" outlineLevel="1" x14ac:dyDescent="0.3">
      <c r="A130" s="2"/>
      <c r="B130" t="s">
        <v>87</v>
      </c>
      <c r="C130" s="81"/>
      <c r="D130" s="82"/>
      <c r="E130" s="83"/>
      <c r="F130" s="83"/>
      <c r="G130" s="83"/>
      <c r="H130" s="83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idden="1" outlineLevel="1" x14ac:dyDescent="0.3">
      <c r="A131" s="2"/>
      <c r="B131" t="s">
        <v>85</v>
      </c>
      <c r="C131" s="80" t="s">
        <v>91</v>
      </c>
      <c r="D131" s="74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105000</v>
      </c>
      <c r="J131" s="83">
        <v>105000</v>
      </c>
      <c r="K131" s="83">
        <v>1038563.625</v>
      </c>
      <c r="L131" s="83">
        <v>1038563.625</v>
      </c>
      <c r="M131" s="83">
        <v>1038563.625</v>
      </c>
      <c r="N131" s="83">
        <v>1038563.625</v>
      </c>
      <c r="O131" s="83">
        <v>1038563.625</v>
      </c>
      <c r="P131" s="83">
        <v>1038563.625</v>
      </c>
      <c r="Q131" s="83">
        <v>1038563.625</v>
      </c>
      <c r="R131" s="83">
        <v>1038563.625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83">
        <v>0</v>
      </c>
      <c r="Z131" s="83">
        <v>0</v>
      </c>
    </row>
    <row r="132" spans="1:26" hidden="1" outlineLevel="1" x14ac:dyDescent="0.3">
      <c r="A132" s="2" t="s">
        <v>20</v>
      </c>
      <c r="B132" t="s">
        <v>25</v>
      </c>
      <c r="C132" s="81"/>
      <c r="D132" s="82"/>
      <c r="E132" s="83"/>
      <c r="F132" s="83"/>
      <c r="G132" s="83"/>
      <c r="H132" s="83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idden="1" outlineLevel="1" x14ac:dyDescent="0.3">
      <c r="A133" s="2"/>
      <c r="B133" t="s">
        <v>86</v>
      </c>
      <c r="C133" s="81"/>
      <c r="D133" s="82"/>
      <c r="E133" s="83"/>
      <c r="F133" s="83"/>
      <c r="G133" s="83"/>
      <c r="H133" s="83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idden="1" outlineLevel="1" x14ac:dyDescent="0.3">
      <c r="A134" s="2"/>
      <c r="B134" t="s">
        <v>87</v>
      </c>
      <c r="C134" s="81"/>
      <c r="D134" s="82"/>
      <c r="E134" s="83"/>
      <c r="F134" s="83"/>
      <c r="G134" s="83"/>
      <c r="H134" s="83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idden="1" outlineLevel="1" x14ac:dyDescent="0.3">
      <c r="A135" s="2"/>
      <c r="B135" t="s">
        <v>85</v>
      </c>
      <c r="C135" s="80" t="s">
        <v>91</v>
      </c>
      <c r="D135" s="82">
        <v>450000</v>
      </c>
      <c r="E135" s="83">
        <v>0</v>
      </c>
      <c r="F135" s="83">
        <v>0</v>
      </c>
      <c r="G135" s="83">
        <v>0</v>
      </c>
      <c r="H135" s="83">
        <v>0</v>
      </c>
      <c r="I135" s="82">
        <v>450000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83">
        <v>0</v>
      </c>
      <c r="Z135" s="83">
        <v>0</v>
      </c>
    </row>
    <row r="136" spans="1:26" hidden="1" outlineLevel="1" x14ac:dyDescent="0.3">
      <c r="A136" s="2" t="e">
        <f>#REF!</f>
        <v>#REF!</v>
      </c>
      <c r="B136" t="s">
        <v>25</v>
      </c>
      <c r="C136" s="81">
        <v>20.203347919174782</v>
      </c>
      <c r="D136" s="82">
        <f>2100000+3400000</f>
        <v>5500000</v>
      </c>
      <c r="E136" s="83">
        <f t="shared" ref="E136:Z136" si="338">$C$136*E$14</f>
        <v>0</v>
      </c>
      <c r="F136" s="83">
        <f t="shared" si="338"/>
        <v>44906.815058629669</v>
      </c>
      <c r="G136" s="83">
        <f t="shared" si="338"/>
        <v>1273577.9400140757</v>
      </c>
      <c r="H136" s="83">
        <f t="shared" si="338"/>
        <v>1638120.3727906344</v>
      </c>
      <c r="I136" s="83">
        <f t="shared" si="338"/>
        <v>1128352.3838776594</v>
      </c>
      <c r="J136" s="83">
        <f t="shared" si="338"/>
        <v>83237.793427000099</v>
      </c>
      <c r="K136" s="83">
        <f t="shared" si="338"/>
        <v>83237.793427000099</v>
      </c>
      <c r="L136" s="83">
        <f t="shared" si="338"/>
        <v>83237.793427000099</v>
      </c>
      <c r="M136" s="83">
        <f t="shared" si="338"/>
        <v>83237.793427000099</v>
      </c>
      <c r="N136" s="83">
        <f t="shared" si="338"/>
        <v>83237.793427000099</v>
      </c>
      <c r="O136" s="83">
        <f t="shared" si="338"/>
        <v>83237.793427000099</v>
      </c>
      <c r="P136" s="83">
        <f t="shared" si="338"/>
        <v>83237.793427000099</v>
      </c>
      <c r="Q136" s="83">
        <f t="shared" si="338"/>
        <v>83237.793427000099</v>
      </c>
      <c r="R136" s="83">
        <f t="shared" si="338"/>
        <v>83237.793427000099</v>
      </c>
      <c r="S136" s="83">
        <f t="shared" si="338"/>
        <v>83237.793427000099</v>
      </c>
      <c r="T136" s="83">
        <f t="shared" si="338"/>
        <v>83237.793427000099</v>
      </c>
      <c r="U136" s="83">
        <f t="shared" si="338"/>
        <v>83237.793427000099</v>
      </c>
      <c r="V136" s="83">
        <f t="shared" si="338"/>
        <v>83237.793427000099</v>
      </c>
      <c r="W136" s="83">
        <f t="shared" si="338"/>
        <v>83237.793427000099</v>
      </c>
      <c r="X136" s="83">
        <f t="shared" si="338"/>
        <v>83237.793427000099</v>
      </c>
      <c r="Y136" s="83">
        <f t="shared" si="338"/>
        <v>83237.793427000099</v>
      </c>
      <c r="Z136" s="83">
        <f t="shared" si="338"/>
        <v>83237.793427000099</v>
      </c>
    </row>
    <row r="137" spans="1:26" hidden="1" outlineLevel="1" x14ac:dyDescent="0.3">
      <c r="A137" s="2"/>
      <c r="B137" t="s">
        <v>86</v>
      </c>
      <c r="C137" s="81"/>
      <c r="D137" s="82"/>
      <c r="E137" s="83"/>
      <c r="F137" s="83"/>
      <c r="G137" s="83"/>
      <c r="H137" s="83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idden="1" outlineLevel="1" x14ac:dyDescent="0.3">
      <c r="A138" s="2"/>
      <c r="B138" t="s">
        <v>87</v>
      </c>
      <c r="C138" s="81"/>
      <c r="D138" s="82"/>
      <c r="E138" s="83"/>
      <c r="F138" s="83"/>
      <c r="G138" s="83"/>
      <c r="H138" s="83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idden="1" outlineLevel="1" x14ac:dyDescent="0.3">
      <c r="A139" s="2"/>
      <c r="B139" t="s">
        <v>85</v>
      </c>
      <c r="C139" s="80" t="s">
        <v>91</v>
      </c>
      <c r="D139" s="82">
        <v>11400000</v>
      </c>
      <c r="E139" s="83">
        <v>0</v>
      </c>
      <c r="F139" s="83">
        <v>0</v>
      </c>
      <c r="G139" s="83">
        <v>0</v>
      </c>
      <c r="H139" s="83">
        <v>0</v>
      </c>
      <c r="I139" s="83">
        <v>3800000</v>
      </c>
      <c r="J139" s="83">
        <v>3800000</v>
      </c>
      <c r="K139" s="83">
        <v>3800000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  <c r="Q139" s="83">
        <v>0</v>
      </c>
      <c r="R139" s="83">
        <v>0</v>
      </c>
      <c r="S139" s="83">
        <v>0</v>
      </c>
      <c r="T139" s="83">
        <v>0</v>
      </c>
      <c r="U139" s="83">
        <v>0</v>
      </c>
      <c r="V139" s="83">
        <v>0</v>
      </c>
      <c r="W139" s="83">
        <v>0</v>
      </c>
      <c r="X139" s="83">
        <v>0</v>
      </c>
      <c r="Y139" s="83">
        <v>0</v>
      </c>
      <c r="Z139" s="83">
        <v>0</v>
      </c>
    </row>
    <row r="140" spans="1:26" hidden="1" outlineLevel="1" x14ac:dyDescent="0.3">
      <c r="E140" s="83"/>
      <c r="F140" s="83"/>
      <c r="G140" s="83"/>
      <c r="H140" s="83"/>
      <c r="I140">
        <f>I139/SUM($I139:$Z139)</f>
        <v>0.33333333333333331</v>
      </c>
      <c r="J140">
        <f t="shared" ref="J140" si="339">J139/SUM($I139:$Z139)</f>
        <v>0.33333333333333331</v>
      </c>
      <c r="K140">
        <f>K139/SUM($I139:$Z139)</f>
        <v>0.33333333333333331</v>
      </c>
      <c r="L140">
        <f>L139/SUM($I139:$Z139)</f>
        <v>0</v>
      </c>
      <c r="M140">
        <f>M139/SUM($I139:$Z139)</f>
        <v>0</v>
      </c>
      <c r="N140">
        <f>N139/SUM($I139:$Z139)</f>
        <v>0</v>
      </c>
      <c r="O140">
        <f t="shared" ref="O140" si="340">O139/SUM($I139:$Z139)</f>
        <v>0</v>
      </c>
      <c r="P140">
        <f t="shared" ref="P140" si="341">P139/SUM($I139:$Z139)</f>
        <v>0</v>
      </c>
      <c r="Q140">
        <f t="shared" ref="Q140" si="342">Q139/SUM($I139:$Z139)</f>
        <v>0</v>
      </c>
      <c r="R140">
        <f t="shared" ref="R140" si="343">R139/SUM($I139:$Z139)</f>
        <v>0</v>
      </c>
      <c r="S140">
        <f t="shared" ref="S140" si="344">S139/SUM($I139:$Z139)</f>
        <v>0</v>
      </c>
      <c r="T140">
        <f t="shared" ref="T140" si="345">T139/SUM($I139:$Z139)</f>
        <v>0</v>
      </c>
      <c r="U140">
        <f t="shared" ref="U140" si="346">U139/SUM($I139:$Z139)</f>
        <v>0</v>
      </c>
      <c r="V140">
        <f t="shared" ref="V140" si="347">V139/SUM($I139:$Z139)</f>
        <v>0</v>
      </c>
      <c r="W140">
        <f t="shared" ref="W140" si="348">W139/SUM($I139:$Z139)</f>
        <v>0</v>
      </c>
      <c r="X140">
        <f t="shared" ref="X140" si="349">X139/SUM($I139:$Z139)</f>
        <v>0</v>
      </c>
      <c r="Y140">
        <f t="shared" ref="Y140" si="350">Y139/SUM($I139:$Z139)</f>
        <v>0</v>
      </c>
      <c r="Z140">
        <f t="shared" ref="Z140" si="351">Z139/SUM($I139:$Z139)</f>
        <v>0</v>
      </c>
    </row>
    <row r="141" spans="1:26" hidden="1" outlineLevel="1" x14ac:dyDescent="0.3">
      <c r="E141" s="83"/>
      <c r="F141" s="83"/>
      <c r="G141" s="83"/>
      <c r="H141" s="83"/>
      <c r="I141" s="90">
        <f>I140*$D139</f>
        <v>3800000</v>
      </c>
      <c r="J141" s="90">
        <f t="shared" ref="J141" si="352">J140*$D139</f>
        <v>3800000</v>
      </c>
      <c r="K141" s="90">
        <f>K140*$D139</f>
        <v>3800000</v>
      </c>
      <c r="L141" s="90">
        <f>L140*$D139</f>
        <v>0</v>
      </c>
      <c r="M141" s="90">
        <f>M140*$D139</f>
        <v>0</v>
      </c>
      <c r="N141" s="90">
        <f t="shared" ref="N141" si="353">N140*$D139</f>
        <v>0</v>
      </c>
      <c r="O141" s="90">
        <f t="shared" ref="O141" si="354">O140*$D139</f>
        <v>0</v>
      </c>
      <c r="P141" s="90">
        <f t="shared" ref="P141" si="355">P140*$D139</f>
        <v>0</v>
      </c>
      <c r="Q141" s="90">
        <f t="shared" ref="Q141" si="356">Q140*$D139</f>
        <v>0</v>
      </c>
      <c r="R141" s="90">
        <f t="shared" ref="R141" si="357">R140*$D139</f>
        <v>0</v>
      </c>
      <c r="S141" s="90">
        <f t="shared" ref="S141" si="358">S140*$D139</f>
        <v>0</v>
      </c>
      <c r="T141" s="90">
        <f t="shared" ref="T141" si="359">T140*$D139</f>
        <v>0</v>
      </c>
      <c r="U141" s="90">
        <f t="shared" ref="U141" si="360">U140*$D139</f>
        <v>0</v>
      </c>
      <c r="V141" s="90">
        <f t="shared" ref="V141" si="361">V140*$D139</f>
        <v>0</v>
      </c>
      <c r="W141" s="90">
        <f t="shared" ref="W141" si="362">W140*$D139</f>
        <v>0</v>
      </c>
      <c r="X141" s="90">
        <f t="shared" ref="X141" si="363">X140*$D139</f>
        <v>0</v>
      </c>
      <c r="Y141" s="90">
        <f t="shared" ref="Y141" si="364">Y140*$D139</f>
        <v>0</v>
      </c>
      <c r="Z141" s="90">
        <f t="shared" ref="Z141" si="365">Z140*$D139</f>
        <v>0</v>
      </c>
    </row>
    <row r="142" spans="1:26" hidden="1" outlineLevel="1" x14ac:dyDescent="0.3">
      <c r="A142" s="2" t="e">
        <f>#REF!</f>
        <v>#REF!</v>
      </c>
      <c r="B142" t="s">
        <v>25</v>
      </c>
      <c r="C142" s="81">
        <v>2.9674748676488676</v>
      </c>
      <c r="D142" s="82">
        <v>600000</v>
      </c>
      <c r="E142" s="83">
        <f>$C$142*E$14</f>
        <v>0</v>
      </c>
      <c r="F142" s="83">
        <f>$C$142*F$14</f>
        <v>6595.9288334664452</v>
      </c>
      <c r="G142" s="83">
        <f>$C$142*G$14</f>
        <v>187063.57699244903</v>
      </c>
      <c r="H142" s="83">
        <f>$C$142*H$14</f>
        <v>240607.69808484075</v>
      </c>
      <c r="I142" s="83">
        <f>$C$142*I$14</f>
        <v>165732.79608924378</v>
      </c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idden="1" outlineLevel="1" x14ac:dyDescent="0.3">
      <c r="A143" s="2"/>
      <c r="B143" t="s">
        <v>86</v>
      </c>
      <c r="C143" s="81"/>
      <c r="D143" s="82"/>
      <c r="E143" s="83"/>
      <c r="F143" s="83"/>
      <c r="G143" s="83"/>
      <c r="H143" s="83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idden="1" outlineLevel="1" x14ac:dyDescent="0.3">
      <c r="A144" s="2"/>
      <c r="B144" t="s">
        <v>87</v>
      </c>
      <c r="C144" s="81"/>
      <c r="D144" s="82"/>
      <c r="E144" s="83"/>
      <c r="F144" s="83"/>
      <c r="G144" s="83"/>
      <c r="H144" s="83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7" hidden="1" outlineLevel="1" x14ac:dyDescent="0.3">
      <c r="A145" s="2"/>
      <c r="B145" t="s">
        <v>85</v>
      </c>
      <c r="C145" s="80" t="s">
        <v>91</v>
      </c>
      <c r="D145" s="82">
        <v>900000</v>
      </c>
      <c r="E145" s="83">
        <v>0</v>
      </c>
      <c r="F145" s="83">
        <v>0</v>
      </c>
      <c r="G145" s="83">
        <v>0</v>
      </c>
      <c r="H145" s="83">
        <v>0</v>
      </c>
      <c r="I145" s="83">
        <v>900000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  <c r="Q145" s="83">
        <v>0</v>
      </c>
      <c r="R145" s="83">
        <v>0</v>
      </c>
      <c r="S145" s="83">
        <v>0</v>
      </c>
      <c r="T145" s="83">
        <v>0</v>
      </c>
      <c r="U145" s="83">
        <v>0</v>
      </c>
      <c r="V145" s="83">
        <v>0</v>
      </c>
      <c r="W145" s="83">
        <v>0</v>
      </c>
      <c r="X145" s="83">
        <v>0</v>
      </c>
      <c r="Y145" s="83">
        <v>0</v>
      </c>
      <c r="Z145" s="83">
        <v>0</v>
      </c>
    </row>
    <row r="146" spans="1:27" x14ac:dyDescent="0.3">
      <c r="A146" s="86" t="e">
        <f>#REF!</f>
        <v>#REF!</v>
      </c>
      <c r="B146" s="42"/>
      <c r="C146" s="75"/>
      <c r="D146" s="44">
        <f>SUM(D153:D182)</f>
        <v>176508099.60650742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 outlineLevel="1" x14ac:dyDescent="0.3">
      <c r="A147" s="96" t="s">
        <v>37</v>
      </c>
      <c r="B147" t="s">
        <v>25</v>
      </c>
      <c r="C147" s="5"/>
      <c r="D147" s="82">
        <v>0</v>
      </c>
      <c r="E147" s="82"/>
      <c r="F147" s="82"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0</v>
      </c>
      <c r="R147" s="82">
        <v>0</v>
      </c>
      <c r="S147" s="82">
        <v>0</v>
      </c>
      <c r="T147" s="82">
        <v>0</v>
      </c>
      <c r="U147" s="82">
        <v>0</v>
      </c>
      <c r="V147" s="82">
        <v>0</v>
      </c>
      <c r="W147" s="82">
        <v>0</v>
      </c>
      <c r="X147" s="82">
        <v>0</v>
      </c>
      <c r="Y147" s="82">
        <v>0</v>
      </c>
      <c r="Z147" s="82">
        <v>0</v>
      </c>
    </row>
    <row r="148" spans="1:27" outlineLevel="1" x14ac:dyDescent="0.3">
      <c r="A148" s="94"/>
      <c r="B148" s="40" t="s">
        <v>86</v>
      </c>
      <c r="C148" s="5"/>
      <c r="D148" s="82">
        <v>0</v>
      </c>
      <c r="E148" s="82"/>
      <c r="F148" s="82">
        <v>0</v>
      </c>
      <c r="G148" s="82">
        <v>0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0</v>
      </c>
      <c r="R148" s="82">
        <v>0</v>
      </c>
      <c r="S148" s="82">
        <v>0</v>
      </c>
      <c r="T148" s="82">
        <v>0</v>
      </c>
      <c r="U148" s="82">
        <v>0</v>
      </c>
      <c r="V148" s="82">
        <v>0</v>
      </c>
      <c r="W148" s="82">
        <v>0</v>
      </c>
      <c r="X148" s="82">
        <v>0</v>
      </c>
      <c r="Y148" s="82">
        <v>0</v>
      </c>
      <c r="Z148" s="82">
        <v>0</v>
      </c>
    </row>
    <row r="149" spans="1:27" outlineLevel="1" x14ac:dyDescent="0.3">
      <c r="A149" s="94"/>
      <c r="B149" t="s">
        <v>87</v>
      </c>
      <c r="C149" s="5"/>
      <c r="D149" s="82">
        <v>0</v>
      </c>
      <c r="E149" s="29"/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82">
        <v>0</v>
      </c>
      <c r="Z149" s="82">
        <v>0</v>
      </c>
    </row>
    <row r="150" spans="1:27" outlineLevel="1" x14ac:dyDescent="0.3">
      <c r="A150" s="94"/>
      <c r="B150" s="40" t="s">
        <v>85</v>
      </c>
      <c r="C150" s="92">
        <f>D150/AVERAGE(I$10:Z$10)/16</f>
        <v>3.2142281002614403</v>
      </c>
      <c r="D150" s="82">
        <v>102408985.77982201</v>
      </c>
      <c r="E150" s="29"/>
      <c r="H150" s="29"/>
      <c r="I150" s="29">
        <v>0</v>
      </c>
      <c r="J150" s="29">
        <v>0</v>
      </c>
      <c r="K150" s="29">
        <v>803155.86999999988</v>
      </c>
      <c r="L150" s="29">
        <v>1606311.7399999998</v>
      </c>
      <c r="M150" s="29">
        <v>2409467.61</v>
      </c>
      <c r="N150" s="29">
        <v>3212623.4799999995</v>
      </c>
      <c r="O150" s="29">
        <v>4015779.3499999996</v>
      </c>
      <c r="P150" s="29">
        <v>4818935.22</v>
      </c>
      <c r="Q150" s="29">
        <v>5622091.0899999999</v>
      </c>
      <c r="R150" s="29">
        <v>6425246.959999999</v>
      </c>
      <c r="S150" s="29">
        <v>6425246.959999999</v>
      </c>
      <c r="T150" s="29">
        <v>6425246.959999999</v>
      </c>
      <c r="U150" s="29">
        <v>6425246.959999999</v>
      </c>
      <c r="V150" s="29">
        <v>6425246.959999999</v>
      </c>
      <c r="W150" s="29">
        <v>6425246.959999999</v>
      </c>
      <c r="X150" s="29">
        <v>6425246.959999999</v>
      </c>
      <c r="Y150" s="29">
        <v>6506446.959999999</v>
      </c>
      <c r="Z150" s="29">
        <v>6587646.959999999</v>
      </c>
    </row>
    <row r="151" spans="1:27" outlineLevel="1" x14ac:dyDescent="0.3">
      <c r="E151" s="83"/>
      <c r="F151" s="83"/>
      <c r="G151" s="83"/>
      <c r="H151" s="83"/>
      <c r="I151">
        <f t="shared" ref="I151:Z151" si="366">I150/SUM($I150:$Z150)</f>
        <v>0</v>
      </c>
      <c r="J151">
        <f t="shared" si="366"/>
        <v>0</v>
      </c>
      <c r="K151">
        <f>K150/SUM($I150:$Z150)</f>
        <v>9.9697613631577493E-3</v>
      </c>
      <c r="L151">
        <f t="shared" si="366"/>
        <v>1.9939522726315499E-2</v>
      </c>
      <c r="M151">
        <f t="shared" si="366"/>
        <v>2.990928408947325E-2</v>
      </c>
      <c r="N151">
        <f t="shared" si="366"/>
        <v>3.9879045452630997E-2</v>
      </c>
      <c r="O151">
        <f t="shared" si="366"/>
        <v>4.9848806815788752E-2</v>
      </c>
      <c r="P151">
        <f t="shared" si="366"/>
        <v>5.9818568178946499E-2</v>
      </c>
      <c r="Q151">
        <f t="shared" si="366"/>
        <v>6.9788329542104247E-2</v>
      </c>
      <c r="R151">
        <f t="shared" si="366"/>
        <v>7.9758090905261994E-2</v>
      </c>
      <c r="S151">
        <f t="shared" si="366"/>
        <v>7.9758090905261994E-2</v>
      </c>
      <c r="T151">
        <f t="shared" si="366"/>
        <v>7.9758090905261994E-2</v>
      </c>
      <c r="U151">
        <f t="shared" si="366"/>
        <v>7.9758090905261994E-2</v>
      </c>
      <c r="V151">
        <f t="shared" si="366"/>
        <v>7.9758090905261994E-2</v>
      </c>
      <c r="W151">
        <f t="shared" si="366"/>
        <v>7.9758090905261994E-2</v>
      </c>
      <c r="X151">
        <f t="shared" si="366"/>
        <v>7.9758090905261994E-2</v>
      </c>
      <c r="Y151">
        <f t="shared" si="366"/>
        <v>8.0766045466670364E-2</v>
      </c>
      <c r="Z151">
        <f t="shared" si="366"/>
        <v>8.1774000028078733E-2</v>
      </c>
    </row>
    <row r="152" spans="1:27" outlineLevel="1" x14ac:dyDescent="0.3">
      <c r="E152" s="83"/>
      <c r="F152" s="83"/>
      <c r="G152" s="83"/>
      <c r="H152" s="83"/>
      <c r="I152" s="90">
        <f>I151*$D150</f>
        <v>0</v>
      </c>
      <c r="J152" s="90">
        <f>J151*$D150</f>
        <v>0</v>
      </c>
      <c r="K152" s="90">
        <f>K151*$D150</f>
        <v>1020993.1496678408</v>
      </c>
      <c r="L152" s="90">
        <f>L151*$D150</f>
        <v>2041986.2993356816</v>
      </c>
      <c r="M152" s="90">
        <f>M151*$D150</f>
        <v>3062979.4490035227</v>
      </c>
      <c r="N152" s="90">
        <f t="shared" ref="N152:Z152" si="367">N151*$D150</f>
        <v>4083972.5986713632</v>
      </c>
      <c r="O152" s="90">
        <f t="shared" si="367"/>
        <v>5104965.748339205</v>
      </c>
      <c r="P152" s="90">
        <f t="shared" si="367"/>
        <v>6125958.8980070455</v>
      </c>
      <c r="Q152" s="90">
        <f t="shared" si="367"/>
        <v>7146952.047674886</v>
      </c>
      <c r="R152" s="90">
        <f t="shared" si="367"/>
        <v>8167945.1973427264</v>
      </c>
      <c r="S152" s="90">
        <f t="shared" si="367"/>
        <v>8167945.1973427264</v>
      </c>
      <c r="T152" s="90">
        <f t="shared" si="367"/>
        <v>8167945.1973427264</v>
      </c>
      <c r="U152" s="90">
        <f t="shared" si="367"/>
        <v>8167945.1973427264</v>
      </c>
      <c r="V152" s="90">
        <f t="shared" si="367"/>
        <v>8167945.1973427264</v>
      </c>
      <c r="W152" s="90">
        <f t="shared" si="367"/>
        <v>8167945.1973427264</v>
      </c>
      <c r="X152" s="90">
        <f t="shared" si="367"/>
        <v>8167945.1973427264</v>
      </c>
      <c r="Y152" s="90">
        <f t="shared" si="367"/>
        <v>8271168.8016887028</v>
      </c>
      <c r="Z152" s="90">
        <f t="shared" si="367"/>
        <v>8374392.4060346792</v>
      </c>
    </row>
    <row r="153" spans="1:27" outlineLevel="1" x14ac:dyDescent="0.3">
      <c r="A153" t="s">
        <v>21</v>
      </c>
      <c r="B153" t="s">
        <v>25</v>
      </c>
      <c r="C153" s="81"/>
      <c r="D153" s="82"/>
      <c r="E153" s="83"/>
      <c r="F153" s="83"/>
      <c r="G153" s="83"/>
      <c r="H153" s="83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7" outlineLevel="1" x14ac:dyDescent="0.3">
      <c r="B154" t="s">
        <v>86</v>
      </c>
      <c r="C154" s="81"/>
      <c r="D154" s="82"/>
      <c r="E154" s="83"/>
      <c r="F154" s="83"/>
      <c r="G154" s="83"/>
      <c r="H154" s="83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7" outlineLevel="1" x14ac:dyDescent="0.3">
      <c r="B155" t="s">
        <v>87</v>
      </c>
      <c r="C155" s="81"/>
      <c r="D155" s="82"/>
      <c r="E155" s="83"/>
      <c r="F155" s="83"/>
      <c r="G155" s="83"/>
      <c r="H155" s="83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7" outlineLevel="1" x14ac:dyDescent="0.3">
      <c r="B156" t="s">
        <v>85</v>
      </c>
      <c r="C156" s="80" t="s">
        <v>91</v>
      </c>
      <c r="D156" s="82">
        <v>1800000</v>
      </c>
      <c r="E156" s="83">
        <v>0</v>
      </c>
      <c r="F156" s="83">
        <v>0</v>
      </c>
      <c r="G156" s="83">
        <v>0</v>
      </c>
      <c r="H156" s="83">
        <v>0</v>
      </c>
      <c r="I156" s="83">
        <v>100000</v>
      </c>
      <c r="J156" s="83">
        <v>100000</v>
      </c>
      <c r="K156" s="83">
        <v>100000</v>
      </c>
      <c r="L156" s="83">
        <v>100000</v>
      </c>
      <c r="M156" s="83">
        <v>100000</v>
      </c>
      <c r="N156" s="83">
        <v>100000</v>
      </c>
      <c r="O156" s="83">
        <v>100000</v>
      </c>
      <c r="P156" s="83">
        <v>100000</v>
      </c>
      <c r="Q156" s="83">
        <v>100000</v>
      </c>
      <c r="R156" s="83">
        <v>100000</v>
      </c>
      <c r="S156" s="83">
        <v>100000</v>
      </c>
      <c r="T156" s="83">
        <v>100000</v>
      </c>
      <c r="U156" s="83">
        <v>100000</v>
      </c>
      <c r="V156" s="83">
        <v>100000</v>
      </c>
      <c r="W156" s="83">
        <v>100000</v>
      </c>
      <c r="X156" s="83">
        <v>100000</v>
      </c>
      <c r="Y156" s="83">
        <v>100000</v>
      </c>
      <c r="Z156" s="83">
        <v>100000</v>
      </c>
    </row>
    <row r="157" spans="1:27" outlineLevel="1" x14ac:dyDescent="0.3">
      <c r="A157" t="s">
        <v>22</v>
      </c>
      <c r="B157" t="s">
        <v>25</v>
      </c>
      <c r="C157" s="81">
        <v>0.17859041440669859</v>
      </c>
      <c r="D157" s="82">
        <v>800000</v>
      </c>
      <c r="E157" s="83">
        <f t="shared" ref="E157:Z157" si="368">$C$157*E$15</f>
        <v>0</v>
      </c>
      <c r="F157" s="83">
        <f t="shared" si="368"/>
        <v>396.96028317138558</v>
      </c>
      <c r="G157" s="83">
        <f t="shared" si="368"/>
        <v>11654.936584736437</v>
      </c>
      <c r="H157" s="83">
        <f t="shared" si="368"/>
        <v>26135.338416903891</v>
      </c>
      <c r="I157" s="83">
        <f t="shared" si="368"/>
        <v>36109.572422063189</v>
      </c>
      <c r="J157" s="83">
        <f t="shared" si="368"/>
        <v>36845.364929418785</v>
      </c>
      <c r="K157" s="83">
        <f t="shared" si="368"/>
        <v>37581.157436774381</v>
      </c>
      <c r="L157" s="83">
        <f t="shared" si="368"/>
        <v>38316.949944129985</v>
      </c>
      <c r="M157" s="83">
        <f t="shared" si="368"/>
        <v>39052.742451485581</v>
      </c>
      <c r="N157" s="83">
        <f t="shared" si="368"/>
        <v>39788.534958841177</v>
      </c>
      <c r="O157" s="83">
        <f t="shared" si="368"/>
        <v>40524.327466196773</v>
      </c>
      <c r="P157" s="83">
        <f t="shared" si="368"/>
        <v>41260.119973552377</v>
      </c>
      <c r="Q157" s="83">
        <f t="shared" si="368"/>
        <v>41995.912480907973</v>
      </c>
      <c r="R157" s="83">
        <f t="shared" si="368"/>
        <v>42731.704988263569</v>
      </c>
      <c r="S157" s="83">
        <f t="shared" si="368"/>
        <v>43467.497495619165</v>
      </c>
      <c r="T157" s="83">
        <f t="shared" si="368"/>
        <v>44203.290002974769</v>
      </c>
      <c r="U157" s="83">
        <f t="shared" si="368"/>
        <v>44939.082510330365</v>
      </c>
      <c r="V157" s="83">
        <f t="shared" si="368"/>
        <v>45674.875017685961</v>
      </c>
      <c r="W157" s="83">
        <f t="shared" si="368"/>
        <v>46410.667525041565</v>
      </c>
      <c r="X157" s="83">
        <f t="shared" si="368"/>
        <v>47146.460032397154</v>
      </c>
      <c r="Y157" s="83">
        <f t="shared" si="368"/>
        <v>47882.25253975275</v>
      </c>
      <c r="Z157" s="83">
        <f t="shared" si="368"/>
        <v>48618.045047108353</v>
      </c>
    </row>
    <row r="158" spans="1:27" outlineLevel="1" x14ac:dyDescent="0.3">
      <c r="B158" t="s">
        <v>86</v>
      </c>
      <c r="C158" s="81"/>
      <c r="D158" s="82"/>
      <c r="E158" s="83"/>
      <c r="F158" s="83"/>
      <c r="G158" s="83"/>
      <c r="H158" s="83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7" outlineLevel="1" x14ac:dyDescent="0.3">
      <c r="B159" t="s">
        <v>87</v>
      </c>
      <c r="C159" s="81"/>
      <c r="D159" s="82"/>
      <c r="E159" s="83"/>
      <c r="F159" s="83"/>
      <c r="G159" s="83"/>
      <c r="H159" s="83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7" outlineLevel="1" x14ac:dyDescent="0.3">
      <c r="B160" t="s">
        <v>85</v>
      </c>
      <c r="C160" s="80" t="s">
        <v>91</v>
      </c>
      <c r="D160" s="82">
        <v>107531362.5</v>
      </c>
      <c r="E160" s="83">
        <v>0</v>
      </c>
      <c r="F160" s="83">
        <v>0</v>
      </c>
      <c r="G160" s="83">
        <v>0</v>
      </c>
      <c r="H160" s="83">
        <v>0</v>
      </c>
      <c r="I160" s="83">
        <v>105000</v>
      </c>
      <c r="J160" s="83">
        <v>210000</v>
      </c>
      <c r="K160" s="83">
        <v>1248563.625</v>
      </c>
      <c r="L160" s="83">
        <v>2287127.25</v>
      </c>
      <c r="M160" s="83">
        <v>3325690.875</v>
      </c>
      <c r="N160" s="83">
        <v>4364254.5</v>
      </c>
      <c r="O160" s="83">
        <v>5402818.125</v>
      </c>
      <c r="P160" s="83">
        <v>6441381.75</v>
      </c>
      <c r="Q160" s="83">
        <v>7479945.375</v>
      </c>
      <c r="R160" s="83">
        <v>8518509</v>
      </c>
      <c r="S160" s="83">
        <v>8518509</v>
      </c>
      <c r="T160" s="83">
        <v>8518509</v>
      </c>
      <c r="U160" s="83">
        <v>8518509</v>
      </c>
      <c r="V160" s="83">
        <v>8518509</v>
      </c>
      <c r="W160" s="83">
        <v>8518509</v>
      </c>
      <c r="X160" s="83">
        <v>8518509</v>
      </c>
      <c r="Y160" s="83">
        <v>8518509</v>
      </c>
      <c r="Z160" s="83">
        <v>8518509</v>
      </c>
    </row>
    <row r="161" spans="1:26" outlineLevel="1" x14ac:dyDescent="0.3">
      <c r="A161" t="s">
        <v>23</v>
      </c>
      <c r="B161" t="s">
        <v>25</v>
      </c>
      <c r="C161" s="81">
        <v>2.1430849728803834</v>
      </c>
      <c r="D161" s="82">
        <v>9600000</v>
      </c>
      <c r="E161" s="83">
        <f t="shared" ref="E161:Z161" si="369">$C$161*E$15</f>
        <v>0</v>
      </c>
      <c r="F161" s="83">
        <f t="shared" si="369"/>
        <v>4763.5233980566281</v>
      </c>
      <c r="G161" s="83">
        <f t="shared" si="369"/>
        <v>139859.23901683727</v>
      </c>
      <c r="H161" s="83">
        <f t="shared" si="369"/>
        <v>313624.06100284669</v>
      </c>
      <c r="I161" s="83">
        <f t="shared" si="369"/>
        <v>433314.8690647583</v>
      </c>
      <c r="J161" s="83">
        <f t="shared" si="369"/>
        <v>442144.37915302545</v>
      </c>
      <c r="K161" s="83">
        <f t="shared" si="369"/>
        <v>450973.88924129267</v>
      </c>
      <c r="L161" s="83">
        <f t="shared" si="369"/>
        <v>459803.39932955982</v>
      </c>
      <c r="M161" s="83">
        <f t="shared" si="369"/>
        <v>468632.90941782703</v>
      </c>
      <c r="N161" s="83">
        <f t="shared" si="369"/>
        <v>477462.41950609419</v>
      </c>
      <c r="O161" s="83">
        <f t="shared" si="369"/>
        <v>486291.92959436134</v>
      </c>
      <c r="P161" s="83">
        <f t="shared" si="369"/>
        <v>495121.43968262855</v>
      </c>
      <c r="Q161" s="83">
        <f t="shared" si="369"/>
        <v>503950.94977089571</v>
      </c>
      <c r="R161" s="83">
        <f t="shared" si="369"/>
        <v>512780.45985916292</v>
      </c>
      <c r="S161" s="83">
        <f t="shared" si="369"/>
        <v>521609.96994743007</v>
      </c>
      <c r="T161" s="83">
        <f t="shared" si="369"/>
        <v>530439.48003569723</v>
      </c>
      <c r="U161" s="83">
        <f t="shared" si="369"/>
        <v>539268.9901239645</v>
      </c>
      <c r="V161" s="83">
        <f t="shared" si="369"/>
        <v>548098.50021223165</v>
      </c>
      <c r="W161" s="83">
        <f t="shared" si="369"/>
        <v>556928.01030049881</v>
      </c>
      <c r="X161" s="83">
        <f t="shared" si="369"/>
        <v>565757.52038876596</v>
      </c>
      <c r="Y161" s="83">
        <f t="shared" si="369"/>
        <v>574587.03047703311</v>
      </c>
      <c r="Z161" s="83">
        <f t="shared" si="369"/>
        <v>583416.54056530027</v>
      </c>
    </row>
    <row r="162" spans="1:26" outlineLevel="1" x14ac:dyDescent="0.3">
      <c r="B162" t="s">
        <v>86</v>
      </c>
      <c r="C162" s="81"/>
      <c r="D162" s="82"/>
      <c r="E162" s="83"/>
      <c r="F162" s="83"/>
      <c r="G162" s="83"/>
      <c r="H162" s="83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outlineLevel="1" x14ac:dyDescent="0.3">
      <c r="B163" t="s">
        <v>87</v>
      </c>
      <c r="C163" s="81"/>
      <c r="D163" s="82"/>
      <c r="E163" s="83"/>
      <c r="F163" s="83"/>
      <c r="G163" s="83"/>
      <c r="H163" s="83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outlineLevel="1" x14ac:dyDescent="0.3">
      <c r="B164" t="s">
        <v>85</v>
      </c>
      <c r="C164" s="80" t="s">
        <v>91</v>
      </c>
      <c r="D164" s="74">
        <v>0</v>
      </c>
      <c r="E164" s="83">
        <v>0</v>
      </c>
      <c r="F164" s="83">
        <v>0</v>
      </c>
      <c r="G164" s="83">
        <v>0</v>
      </c>
      <c r="H164" s="83">
        <v>0</v>
      </c>
      <c r="I164" s="83">
        <v>105000</v>
      </c>
      <c r="J164" s="83">
        <v>210000</v>
      </c>
      <c r="K164" s="83">
        <v>1248563.625</v>
      </c>
      <c r="L164" s="83">
        <v>2287127.25</v>
      </c>
      <c r="M164" s="83">
        <v>3325690.875</v>
      </c>
      <c r="N164" s="83">
        <v>4364254.5</v>
      </c>
      <c r="O164" s="83">
        <v>5402818.125</v>
      </c>
      <c r="P164" s="83">
        <v>6441381.75</v>
      </c>
      <c r="Q164" s="83">
        <v>7479945.375</v>
      </c>
      <c r="R164" s="83">
        <v>8518509</v>
      </c>
      <c r="S164" s="83">
        <v>8518509</v>
      </c>
      <c r="T164" s="83">
        <v>8518509</v>
      </c>
      <c r="U164" s="83">
        <v>8518509</v>
      </c>
      <c r="V164" s="83">
        <v>8518509</v>
      </c>
      <c r="W164" s="83">
        <v>8518509</v>
      </c>
      <c r="X164" s="83">
        <v>8518509</v>
      </c>
      <c r="Y164" s="83">
        <v>8518509</v>
      </c>
      <c r="Z164" s="83">
        <v>8518509</v>
      </c>
    </row>
    <row r="165" spans="1:26" outlineLevel="1" x14ac:dyDescent="0.3">
      <c r="E165" s="83"/>
      <c r="F165" s="83"/>
      <c r="G165" s="83"/>
      <c r="H165" s="83"/>
      <c r="I165">
        <f t="shared" ref="I165:N165" si="370">I164/SUM($I164:$Z164)</f>
        <v>9.7645930971998983E-4</v>
      </c>
      <c r="J165">
        <f t="shared" si="370"/>
        <v>1.9529186194399797E-3</v>
      </c>
      <c r="K165">
        <f t="shared" si="370"/>
        <v>1.1611157861037983E-2</v>
      </c>
      <c r="L165">
        <f t="shared" si="370"/>
        <v>2.1269397102635985E-2</v>
      </c>
      <c r="M165">
        <f t="shared" si="370"/>
        <v>3.092763634423399E-2</v>
      </c>
      <c r="N165">
        <f t="shared" si="370"/>
        <v>4.0585875585831994E-2</v>
      </c>
      <c r="O165">
        <f t="shared" ref="O165" si="371">O164/SUM($I164:$Z164)</f>
        <v>5.0244114827429999E-2</v>
      </c>
      <c r="P165">
        <f t="shared" ref="P165" si="372">P164/SUM($I164:$Z164)</f>
        <v>5.9902354069028003E-2</v>
      </c>
      <c r="Q165">
        <f t="shared" ref="Q165" si="373">Q164/SUM($I164:$Z164)</f>
        <v>6.9560593310626001E-2</v>
      </c>
      <c r="R165">
        <f t="shared" ref="R165" si="374">R164/SUM($I164:$Z164)</f>
        <v>7.9218832552224006E-2</v>
      </c>
      <c r="S165">
        <f t="shared" ref="S165" si="375">S164/SUM($I164:$Z164)</f>
        <v>7.9218832552224006E-2</v>
      </c>
      <c r="T165">
        <f t="shared" ref="T165" si="376">T164/SUM($I164:$Z164)</f>
        <v>7.9218832552224006E-2</v>
      </c>
      <c r="U165">
        <f t="shared" ref="U165" si="377">U164/SUM($I164:$Z164)</f>
        <v>7.9218832552224006E-2</v>
      </c>
      <c r="V165">
        <f t="shared" ref="V165" si="378">V164/SUM($I164:$Z164)</f>
        <v>7.9218832552224006E-2</v>
      </c>
      <c r="W165">
        <f t="shared" ref="W165" si="379">W164/SUM($I164:$Z164)</f>
        <v>7.9218832552224006E-2</v>
      </c>
      <c r="X165">
        <f t="shared" ref="X165" si="380">X164/SUM($I164:$Z164)</f>
        <v>7.9218832552224006E-2</v>
      </c>
      <c r="Y165">
        <f t="shared" ref="Y165" si="381">Y164/SUM($I164:$Z164)</f>
        <v>7.9218832552224006E-2</v>
      </c>
      <c r="Z165">
        <f t="shared" ref="Z165" si="382">Z164/SUM($I164:$Z164)</f>
        <v>7.9218832552224006E-2</v>
      </c>
    </row>
    <row r="166" spans="1:26" outlineLevel="1" x14ac:dyDescent="0.3">
      <c r="E166" s="83"/>
      <c r="F166" s="83"/>
      <c r="G166" s="83"/>
      <c r="H166" s="83"/>
      <c r="I166" s="90">
        <f>I165*$D164</f>
        <v>0</v>
      </c>
      <c r="J166" s="90">
        <f>J165*$D164</f>
        <v>0</v>
      </c>
      <c r="K166" s="90">
        <f>K165*$D164</f>
        <v>0</v>
      </c>
      <c r="L166" s="90">
        <f>L165*$D164</f>
        <v>0</v>
      </c>
      <c r="M166" s="90">
        <f>M165*$D164</f>
        <v>0</v>
      </c>
      <c r="N166" s="90">
        <f t="shared" ref="N166" si="383">N165*$D164</f>
        <v>0</v>
      </c>
      <c r="O166" s="90">
        <f t="shared" ref="O166" si="384">O165*$D164</f>
        <v>0</v>
      </c>
      <c r="P166" s="90">
        <f t="shared" ref="P166" si="385">P165*$D164</f>
        <v>0</v>
      </c>
      <c r="Q166" s="90">
        <f t="shared" ref="Q166" si="386">Q165*$D164</f>
        <v>0</v>
      </c>
      <c r="R166" s="90">
        <f t="shared" ref="R166" si="387">R165*$D164</f>
        <v>0</v>
      </c>
      <c r="S166" s="90">
        <f t="shared" ref="S166" si="388">S165*$D164</f>
        <v>0</v>
      </c>
      <c r="T166" s="90">
        <f t="shared" ref="T166" si="389">T165*$D164</f>
        <v>0</v>
      </c>
      <c r="U166" s="90">
        <f t="shared" ref="U166" si="390">U165*$D164</f>
        <v>0</v>
      </c>
      <c r="V166" s="90">
        <f t="shared" ref="V166" si="391">V165*$D164</f>
        <v>0</v>
      </c>
      <c r="W166" s="90">
        <f t="shared" ref="W166" si="392">W165*$D164</f>
        <v>0</v>
      </c>
      <c r="X166" s="90">
        <f t="shared" ref="X166" si="393">X165*$D164</f>
        <v>0</v>
      </c>
      <c r="Y166" s="90">
        <f t="shared" ref="Y166" si="394">Y165*$D164</f>
        <v>0</v>
      </c>
      <c r="Z166" s="90">
        <f t="shared" ref="Z166" si="395">Z165*$D164</f>
        <v>0</v>
      </c>
    </row>
    <row r="167" spans="1:26" outlineLevel="1" x14ac:dyDescent="0.3">
      <c r="A167" t="s">
        <v>24</v>
      </c>
      <c r="B167" t="s">
        <v>25</v>
      </c>
      <c r="C167" s="81">
        <v>1.6073137296602875</v>
      </c>
      <c r="D167" s="82">
        <v>7200000</v>
      </c>
      <c r="E167" s="83">
        <f t="shared" ref="E167:Z167" si="396">$C$167*E$15</f>
        <v>0</v>
      </c>
      <c r="F167" s="83">
        <f t="shared" si="396"/>
        <v>3572.6425485424706</v>
      </c>
      <c r="G167" s="83">
        <f t="shared" si="396"/>
        <v>104894.42926262795</v>
      </c>
      <c r="H167" s="83">
        <f t="shared" si="396"/>
        <v>235218.04575213505</v>
      </c>
      <c r="I167" s="83">
        <f t="shared" si="396"/>
        <v>324986.15179856872</v>
      </c>
      <c r="J167" s="83">
        <f t="shared" si="396"/>
        <v>331608.28436476912</v>
      </c>
      <c r="K167" s="83">
        <f t="shared" si="396"/>
        <v>338230.41693096946</v>
      </c>
      <c r="L167" s="83">
        <f t="shared" si="396"/>
        <v>344852.54949716985</v>
      </c>
      <c r="M167" s="83">
        <f t="shared" si="396"/>
        <v>351474.68206337024</v>
      </c>
      <c r="N167" s="83">
        <f t="shared" si="396"/>
        <v>358096.81462957064</v>
      </c>
      <c r="O167" s="83">
        <f t="shared" si="396"/>
        <v>364718.94719577103</v>
      </c>
      <c r="P167" s="83">
        <f t="shared" si="396"/>
        <v>371341.07976197143</v>
      </c>
      <c r="Q167" s="83">
        <f t="shared" si="396"/>
        <v>377963.21232817176</v>
      </c>
      <c r="R167" s="83">
        <f t="shared" si="396"/>
        <v>384585.34489437216</v>
      </c>
      <c r="S167" s="83">
        <f t="shared" si="396"/>
        <v>391207.47746057255</v>
      </c>
      <c r="T167" s="83">
        <f t="shared" si="396"/>
        <v>397829.61002677295</v>
      </c>
      <c r="U167" s="83">
        <f t="shared" si="396"/>
        <v>404451.74259297334</v>
      </c>
      <c r="V167" s="83">
        <f t="shared" si="396"/>
        <v>411073.87515917374</v>
      </c>
      <c r="W167" s="83">
        <f t="shared" si="396"/>
        <v>417696.00772537407</v>
      </c>
      <c r="X167" s="83">
        <f t="shared" si="396"/>
        <v>424318.14029157441</v>
      </c>
      <c r="Y167" s="83">
        <f t="shared" si="396"/>
        <v>430940.27285777481</v>
      </c>
      <c r="Z167" s="83">
        <f t="shared" si="396"/>
        <v>437562.4054239752</v>
      </c>
    </row>
    <row r="168" spans="1:26" outlineLevel="1" x14ac:dyDescent="0.3">
      <c r="B168" t="s">
        <v>86</v>
      </c>
      <c r="C168" s="81"/>
      <c r="D168" s="82"/>
      <c r="E168" s="83"/>
      <c r="F168" s="83"/>
      <c r="G168" s="83"/>
      <c r="H168" s="83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outlineLevel="1" x14ac:dyDescent="0.3">
      <c r="B169" t="s">
        <v>87</v>
      </c>
      <c r="C169" s="81"/>
      <c r="D169" s="82"/>
      <c r="E169" s="83"/>
      <c r="F169" s="83"/>
      <c r="G169" s="83"/>
      <c r="H169" s="83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outlineLevel="1" x14ac:dyDescent="0.3">
      <c r="B170" t="s">
        <v>85</v>
      </c>
      <c r="C170" s="80" t="s">
        <v>91</v>
      </c>
      <c r="D170" s="74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87500</v>
      </c>
      <c r="J170" s="83">
        <v>175000</v>
      </c>
      <c r="K170" s="83">
        <v>1040469.6875</v>
      </c>
      <c r="L170" s="83">
        <v>1905939.375</v>
      </c>
      <c r="M170" s="83">
        <v>2771409.0625</v>
      </c>
      <c r="N170" s="83">
        <v>3636878.75</v>
      </c>
      <c r="O170" s="83">
        <v>4502348.4375</v>
      </c>
      <c r="P170" s="83">
        <v>5367818.125</v>
      </c>
      <c r="Q170" s="83">
        <v>6233287.8125</v>
      </c>
      <c r="R170" s="83">
        <v>7098757.5</v>
      </c>
      <c r="S170" s="83">
        <v>7098757.5</v>
      </c>
      <c r="T170" s="83">
        <v>7098757.5</v>
      </c>
      <c r="U170" s="83">
        <v>7098757.5</v>
      </c>
      <c r="V170" s="83">
        <v>7098757.5</v>
      </c>
      <c r="W170" s="83">
        <v>7098757.5</v>
      </c>
      <c r="X170" s="83">
        <v>7098757.5</v>
      </c>
      <c r="Y170" s="83">
        <v>7098757.5</v>
      </c>
      <c r="Z170" s="83">
        <v>7098757.5</v>
      </c>
    </row>
    <row r="171" spans="1:26" outlineLevel="1" x14ac:dyDescent="0.3">
      <c r="E171" s="83"/>
      <c r="F171" s="83"/>
      <c r="G171" s="83"/>
      <c r="H171" s="83"/>
      <c r="I171">
        <f t="shared" ref="I171:N171" si="397">I170/SUM($I170:$Z170)</f>
        <v>9.7645930971998983E-4</v>
      </c>
      <c r="J171">
        <f t="shared" si="397"/>
        <v>1.9529186194399797E-3</v>
      </c>
      <c r="K171">
        <f t="shared" si="397"/>
        <v>1.1611157861037983E-2</v>
      </c>
      <c r="L171">
        <f t="shared" si="397"/>
        <v>2.1269397102635985E-2</v>
      </c>
      <c r="M171">
        <f t="shared" si="397"/>
        <v>3.092763634423399E-2</v>
      </c>
      <c r="N171">
        <f t="shared" si="397"/>
        <v>4.0585875585831994E-2</v>
      </c>
      <c r="O171">
        <f t="shared" ref="O171" si="398">O170/SUM($I170:$Z170)</f>
        <v>5.0244114827429999E-2</v>
      </c>
      <c r="P171">
        <f t="shared" ref="P171" si="399">P170/SUM($I170:$Z170)</f>
        <v>5.9902354069028003E-2</v>
      </c>
      <c r="Q171">
        <f t="shared" ref="Q171" si="400">Q170/SUM($I170:$Z170)</f>
        <v>6.9560593310626001E-2</v>
      </c>
      <c r="R171">
        <f t="shared" ref="R171" si="401">R170/SUM($I170:$Z170)</f>
        <v>7.9218832552224006E-2</v>
      </c>
      <c r="S171">
        <f t="shared" ref="S171" si="402">S170/SUM($I170:$Z170)</f>
        <v>7.9218832552224006E-2</v>
      </c>
      <c r="T171">
        <f t="shared" ref="T171" si="403">T170/SUM($I170:$Z170)</f>
        <v>7.9218832552224006E-2</v>
      </c>
      <c r="U171">
        <f t="shared" ref="U171" si="404">U170/SUM($I170:$Z170)</f>
        <v>7.9218832552224006E-2</v>
      </c>
      <c r="V171">
        <f t="shared" ref="V171" si="405">V170/SUM($I170:$Z170)</f>
        <v>7.9218832552224006E-2</v>
      </c>
      <c r="W171">
        <f t="shared" ref="W171" si="406">W170/SUM($I170:$Z170)</f>
        <v>7.9218832552224006E-2</v>
      </c>
      <c r="X171">
        <f t="shared" ref="X171" si="407">X170/SUM($I170:$Z170)</f>
        <v>7.9218832552224006E-2</v>
      </c>
      <c r="Y171">
        <f t="shared" ref="Y171" si="408">Y170/SUM($I170:$Z170)</f>
        <v>7.9218832552224006E-2</v>
      </c>
      <c r="Z171">
        <f t="shared" ref="Z171" si="409">Z170/SUM($I170:$Z170)</f>
        <v>7.9218832552224006E-2</v>
      </c>
    </row>
    <row r="172" spans="1:26" outlineLevel="1" x14ac:dyDescent="0.3">
      <c r="E172" s="83"/>
      <c r="F172" s="83"/>
      <c r="G172" s="83"/>
      <c r="H172" s="83"/>
      <c r="I172" s="90">
        <f>I171*$D170</f>
        <v>0</v>
      </c>
      <c r="J172" s="90">
        <f>J171*$D170</f>
        <v>0</v>
      </c>
      <c r="K172" s="90">
        <f>K171*$D170</f>
        <v>0</v>
      </c>
      <c r="L172" s="90">
        <f>L171*$D170</f>
        <v>0</v>
      </c>
      <c r="M172" s="90">
        <f>M171*$D170</f>
        <v>0</v>
      </c>
      <c r="N172" s="90">
        <f t="shared" ref="N172" si="410">N171*$D170</f>
        <v>0</v>
      </c>
      <c r="O172" s="90">
        <f t="shared" ref="O172" si="411">O171*$D170</f>
        <v>0</v>
      </c>
      <c r="P172" s="90">
        <f t="shared" ref="P172" si="412">P171*$D170</f>
        <v>0</v>
      </c>
      <c r="Q172" s="90">
        <f t="shared" ref="Q172" si="413">Q171*$D170</f>
        <v>0</v>
      </c>
      <c r="R172" s="90">
        <f t="shared" ref="R172" si="414">R171*$D170</f>
        <v>0</v>
      </c>
      <c r="S172" s="90">
        <f t="shared" ref="S172" si="415">S171*$D170</f>
        <v>0</v>
      </c>
      <c r="T172" s="90">
        <f t="shared" ref="T172" si="416">T171*$D170</f>
        <v>0</v>
      </c>
      <c r="U172" s="90">
        <f t="shared" ref="U172" si="417">U171*$D170</f>
        <v>0</v>
      </c>
      <c r="V172" s="90">
        <f t="shared" ref="V172" si="418">V171*$D170</f>
        <v>0</v>
      </c>
      <c r="W172" s="90">
        <f t="shared" ref="W172" si="419">W171*$D170</f>
        <v>0</v>
      </c>
      <c r="X172" s="90">
        <f t="shared" ref="X172" si="420">X171*$D170</f>
        <v>0</v>
      </c>
      <c r="Y172" s="90">
        <f t="shared" ref="Y172" si="421">Y171*$D170</f>
        <v>0</v>
      </c>
      <c r="Z172" s="90">
        <f t="shared" ref="Z172" si="422">Z171*$D170</f>
        <v>0</v>
      </c>
    </row>
    <row r="173" spans="1:26" outlineLevel="1" x14ac:dyDescent="0.3">
      <c r="A173" t="e">
        <f>#REF!</f>
        <v>#REF!</v>
      </c>
      <c r="B173" t="s">
        <v>25</v>
      </c>
      <c r="C173" s="81"/>
      <c r="D173" s="82"/>
      <c r="E173" s="83"/>
      <c r="F173" s="83"/>
      <c r="G173" s="83"/>
      <c r="H173" s="83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outlineLevel="1" x14ac:dyDescent="0.3">
      <c r="B174" t="s">
        <v>86</v>
      </c>
      <c r="C174" s="81"/>
      <c r="D174" s="82"/>
      <c r="E174" s="83"/>
      <c r="F174" s="83"/>
      <c r="G174" s="83"/>
      <c r="H174" s="83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outlineLevel="1" x14ac:dyDescent="0.3">
      <c r="B175" t="s">
        <v>87</v>
      </c>
      <c r="C175" s="81"/>
      <c r="D175" s="82"/>
      <c r="E175" s="83"/>
      <c r="F175" s="83"/>
      <c r="G175" s="83"/>
      <c r="H175" s="83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outlineLevel="1" x14ac:dyDescent="0.3">
      <c r="B176" t="s">
        <v>85</v>
      </c>
      <c r="C176" s="80" t="s">
        <v>91</v>
      </c>
      <c r="D176" s="82">
        <v>21699645.126648601</v>
      </c>
      <c r="E176" s="83">
        <v>0</v>
      </c>
      <c r="F176" s="83">
        <v>0</v>
      </c>
      <c r="G176" s="83">
        <v>0</v>
      </c>
      <c r="H176" s="83">
        <v>0</v>
      </c>
      <c r="I176" s="83">
        <v>16420.146008842756</v>
      </c>
      <c r="J176" s="83">
        <v>32840.292017685511</v>
      </c>
      <c r="K176" s="83">
        <v>197774.47400384373</v>
      </c>
      <c r="L176" s="83">
        <v>362708.65599000198</v>
      </c>
      <c r="M176" s="83">
        <v>527642.83797616023</v>
      </c>
      <c r="N176" s="83">
        <v>692577.01996231847</v>
      </c>
      <c r="O176" s="83">
        <v>857511.20194847661</v>
      </c>
      <c r="P176" s="83">
        <v>1022445.3839346347</v>
      </c>
      <c r="Q176" s="83">
        <v>1187379.565920793</v>
      </c>
      <c r="R176" s="83">
        <v>1352313.7479069512</v>
      </c>
      <c r="S176" s="83">
        <v>1352313.7479069512</v>
      </c>
      <c r="T176" s="83">
        <v>1352313.7479069512</v>
      </c>
      <c r="U176" s="83">
        <v>1352313.7479069512</v>
      </c>
      <c r="V176" s="83">
        <v>1352313.7479069512</v>
      </c>
      <c r="W176" s="83">
        <v>1352313.7479069512</v>
      </c>
      <c r="X176" s="83">
        <v>1352313.7479069512</v>
      </c>
      <c r="Y176" s="83">
        <v>1352313.7479069512</v>
      </c>
      <c r="Z176" s="83">
        <v>1352313.7479069512</v>
      </c>
    </row>
    <row r="177" spans="1:27" outlineLevel="1" x14ac:dyDescent="0.3">
      <c r="E177" s="83"/>
      <c r="F177" s="83"/>
      <c r="G177" s="83"/>
      <c r="H177" s="83"/>
      <c r="I177">
        <f t="shared" ref="I177:N177" si="423">I176/SUM($I176:$Z176)</f>
        <v>9.6203582032104739E-4</v>
      </c>
      <c r="J177">
        <f t="shared" si="423"/>
        <v>1.9240716406420948E-3</v>
      </c>
      <c r="K177">
        <f t="shared" si="423"/>
        <v>1.158735910352973E-2</v>
      </c>
      <c r="L177">
        <f t="shared" si="423"/>
        <v>2.1250646566417366E-2</v>
      </c>
      <c r="M177">
        <f t="shared" si="423"/>
        <v>3.0913934029305003E-2</v>
      </c>
      <c r="N177">
        <f t="shared" si="423"/>
        <v>4.0577221492192637E-2</v>
      </c>
      <c r="O177">
        <f t="shared" ref="O177" si="424">O176/SUM($I176:$Z176)</f>
        <v>5.0240508955080268E-2</v>
      </c>
      <c r="P177">
        <f t="shared" ref="P177" si="425">P176/SUM($I176:$Z176)</f>
        <v>5.9903796417967899E-2</v>
      </c>
      <c r="Q177">
        <f t="shared" ref="Q177" si="426">Q176/SUM($I176:$Z176)</f>
        <v>6.9567083880855529E-2</v>
      </c>
      <c r="R177">
        <f t="shared" ref="R177" si="427">R176/SUM($I176:$Z176)</f>
        <v>7.9230371343743167E-2</v>
      </c>
      <c r="S177">
        <f t="shared" ref="S177" si="428">S176/SUM($I176:$Z176)</f>
        <v>7.9230371343743167E-2</v>
      </c>
      <c r="T177">
        <f t="shared" ref="T177" si="429">T176/SUM($I176:$Z176)</f>
        <v>7.9230371343743167E-2</v>
      </c>
      <c r="U177">
        <f t="shared" ref="U177" si="430">U176/SUM($I176:$Z176)</f>
        <v>7.9230371343743167E-2</v>
      </c>
      <c r="V177">
        <f t="shared" ref="V177" si="431">V176/SUM($I176:$Z176)</f>
        <v>7.9230371343743167E-2</v>
      </c>
      <c r="W177">
        <f t="shared" ref="W177" si="432">W176/SUM($I176:$Z176)</f>
        <v>7.9230371343743167E-2</v>
      </c>
      <c r="X177">
        <f t="shared" ref="X177" si="433">X176/SUM($I176:$Z176)</f>
        <v>7.9230371343743167E-2</v>
      </c>
      <c r="Y177">
        <f t="shared" ref="Y177" si="434">Y176/SUM($I176:$Z176)</f>
        <v>7.9230371343743167E-2</v>
      </c>
      <c r="Z177">
        <f t="shared" ref="Z177" si="435">Z176/SUM($I176:$Z176)</f>
        <v>7.9230371343743167E-2</v>
      </c>
    </row>
    <row r="178" spans="1:27" outlineLevel="1" x14ac:dyDescent="0.3">
      <c r="E178" s="83"/>
      <c r="F178" s="83"/>
      <c r="G178" s="83"/>
      <c r="H178" s="83"/>
      <c r="I178" s="90">
        <f>I177*$D176</f>
        <v>20875.835900091006</v>
      </c>
      <c r="J178" s="90">
        <f>J177*$D176</f>
        <v>41751.671800182012</v>
      </c>
      <c r="K178" s="90">
        <f>K177*$D176</f>
        <v>251441.5805016362</v>
      </c>
      <c r="L178" s="90">
        <f>L177*$D176</f>
        <v>461131.48920309043</v>
      </c>
      <c r="M178" s="90">
        <f>M177*$D176</f>
        <v>670821.39790454472</v>
      </c>
      <c r="N178" s="90">
        <f t="shared" ref="N178" si="436">N177*$D176</f>
        <v>880511.30660599889</v>
      </c>
      <c r="O178" s="90">
        <f t="shared" ref="O178" si="437">O177*$D176</f>
        <v>1090201.2153074529</v>
      </c>
      <c r="P178" s="90">
        <f t="shared" ref="P178" si="438">P177*$D176</f>
        <v>1299891.124008907</v>
      </c>
      <c r="Q178" s="90">
        <f t="shared" ref="Q178" si="439">Q177*$D176</f>
        <v>1509581.0327103611</v>
      </c>
      <c r="R178" s="90">
        <f t="shared" ref="R178" si="440">R177*$D176</f>
        <v>1719270.9414118154</v>
      </c>
      <c r="S178" s="90">
        <f t="shared" ref="S178" si="441">S177*$D176</f>
        <v>1719270.9414118154</v>
      </c>
      <c r="T178" s="90">
        <f t="shared" ref="T178" si="442">T177*$D176</f>
        <v>1719270.9414118154</v>
      </c>
      <c r="U178" s="90">
        <f t="shared" ref="U178" si="443">U177*$D176</f>
        <v>1719270.9414118154</v>
      </c>
      <c r="V178" s="90">
        <f t="shared" ref="V178" si="444">V177*$D176</f>
        <v>1719270.9414118154</v>
      </c>
      <c r="W178" s="90">
        <f t="shared" ref="W178" si="445">W177*$D176</f>
        <v>1719270.9414118154</v>
      </c>
      <c r="X178" s="90">
        <f t="shared" ref="X178" si="446">X177*$D176</f>
        <v>1719270.9414118154</v>
      </c>
      <c r="Y178" s="90">
        <f t="shared" ref="Y178" si="447">Y177*$D176</f>
        <v>1719270.9414118154</v>
      </c>
      <c r="Z178" s="90">
        <f t="shared" ref="Z178" si="448">Z177*$D176</f>
        <v>1719270.9414118154</v>
      </c>
    </row>
    <row r="179" spans="1:27" outlineLevel="1" x14ac:dyDescent="0.3">
      <c r="A179" t="e">
        <f>#REF!</f>
        <v>#REF!</v>
      </c>
      <c r="B179" t="s">
        <v>25</v>
      </c>
      <c r="C179" s="81">
        <v>0.87062827023265565</v>
      </c>
      <c r="D179" s="82">
        <v>3900000</v>
      </c>
      <c r="E179" s="83">
        <f t="shared" ref="E179:Z179" si="449">$C$179*E$15</f>
        <v>0</v>
      </c>
      <c r="F179" s="83">
        <f t="shared" si="449"/>
        <v>1935.1813804605049</v>
      </c>
      <c r="G179" s="83">
        <f t="shared" si="449"/>
        <v>56817.815850590137</v>
      </c>
      <c r="H179" s="83">
        <f t="shared" si="449"/>
        <v>127409.77478240646</v>
      </c>
      <c r="I179" s="83">
        <f t="shared" si="449"/>
        <v>176034.16555755804</v>
      </c>
      <c r="J179" s="83">
        <f t="shared" si="449"/>
        <v>179621.15403091657</v>
      </c>
      <c r="K179" s="83">
        <f t="shared" si="449"/>
        <v>183208.14250427511</v>
      </c>
      <c r="L179" s="83">
        <f t="shared" si="449"/>
        <v>186795.13097763367</v>
      </c>
      <c r="M179" s="83">
        <f t="shared" si="449"/>
        <v>190382.11945099221</v>
      </c>
      <c r="N179" s="83">
        <f t="shared" si="449"/>
        <v>193969.10792435074</v>
      </c>
      <c r="O179" s="83">
        <f t="shared" si="449"/>
        <v>197556.09639770928</v>
      </c>
      <c r="P179" s="83">
        <f t="shared" si="449"/>
        <v>201143.08487106784</v>
      </c>
      <c r="Q179" s="83">
        <f t="shared" si="449"/>
        <v>204730.07334442638</v>
      </c>
      <c r="R179" s="83">
        <f t="shared" si="449"/>
        <v>208317.06181778491</v>
      </c>
      <c r="S179" s="83">
        <f t="shared" si="449"/>
        <v>211904.05029114345</v>
      </c>
      <c r="T179" s="83">
        <f t="shared" si="449"/>
        <v>215491.03876450198</v>
      </c>
      <c r="U179" s="83">
        <f t="shared" si="449"/>
        <v>219078.02723786054</v>
      </c>
      <c r="V179" s="83">
        <f t="shared" si="449"/>
        <v>222665.01571121908</v>
      </c>
      <c r="W179" s="83">
        <f t="shared" si="449"/>
        <v>226252.00418457761</v>
      </c>
      <c r="X179" s="83">
        <f t="shared" si="449"/>
        <v>229838.99265793612</v>
      </c>
      <c r="Y179" s="83">
        <f t="shared" si="449"/>
        <v>233425.98113129468</v>
      </c>
      <c r="Z179" s="83">
        <f t="shared" si="449"/>
        <v>237012.96960465322</v>
      </c>
    </row>
    <row r="180" spans="1:27" outlineLevel="1" x14ac:dyDescent="0.3">
      <c r="B180" t="s">
        <v>86</v>
      </c>
      <c r="C180" s="81"/>
      <c r="D180" s="82"/>
      <c r="E180" s="83"/>
      <c r="F180" s="83"/>
      <c r="G180" s="83"/>
      <c r="H180" s="83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7" outlineLevel="1" x14ac:dyDescent="0.3">
      <c r="B181" t="s">
        <v>87</v>
      </c>
      <c r="C181" s="81"/>
      <c r="D181" s="82"/>
      <c r="E181" s="83"/>
      <c r="F181" s="83"/>
      <c r="G181" s="83"/>
      <c r="H181" s="83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7" outlineLevel="1" x14ac:dyDescent="0.3">
      <c r="B182" t="s">
        <v>85</v>
      </c>
      <c r="C182" s="80" t="s">
        <v>91</v>
      </c>
      <c r="D182" s="82">
        <v>23977091.979858801</v>
      </c>
      <c r="E182" s="83">
        <v>0</v>
      </c>
      <c r="F182" s="83">
        <v>0</v>
      </c>
      <c r="G182" s="83">
        <v>0</v>
      </c>
      <c r="H182" s="83">
        <v>0</v>
      </c>
      <c r="I182" s="83">
        <v>17967.62311376385</v>
      </c>
      <c r="J182" s="83">
        <v>35935.246227527699</v>
      </c>
      <c r="K182" s="83">
        <v>218228.96947988361</v>
      </c>
      <c r="L182" s="83">
        <v>400522.69273223949</v>
      </c>
      <c r="M182" s="83">
        <v>582816.41598459543</v>
      </c>
      <c r="N182" s="83">
        <v>765110.13923695125</v>
      </c>
      <c r="O182" s="83">
        <v>947403.8624893073</v>
      </c>
      <c r="P182" s="83">
        <v>1129697.5857416631</v>
      </c>
      <c r="Q182" s="83">
        <v>1311991.3089940189</v>
      </c>
      <c r="R182" s="83">
        <v>1494285.0322463748</v>
      </c>
      <c r="S182" s="83">
        <v>1494285.0322463748</v>
      </c>
      <c r="T182" s="83">
        <v>1494285.0322463748</v>
      </c>
      <c r="U182" s="83">
        <v>1494285.0322463748</v>
      </c>
      <c r="V182" s="83">
        <v>1494285.0322463748</v>
      </c>
      <c r="W182" s="83">
        <v>1494285.0322463748</v>
      </c>
      <c r="X182" s="83">
        <v>1494285.0322463748</v>
      </c>
      <c r="Y182" s="83">
        <v>1494285.0322463748</v>
      </c>
      <c r="Z182" s="83">
        <v>1494285.0322463748</v>
      </c>
    </row>
    <row r="183" spans="1:27" outlineLevel="1" x14ac:dyDescent="0.3">
      <c r="E183" s="83"/>
      <c r="F183" s="83"/>
      <c r="G183" s="83"/>
      <c r="H183" s="83"/>
      <c r="I183">
        <f t="shared" ref="I183:N183" si="450">I182/SUM($I182:$Z182)</f>
        <v>9.5277310812983079E-4</v>
      </c>
      <c r="J183">
        <f t="shared" si="450"/>
        <v>1.9055462162596616E-3</v>
      </c>
      <c r="K183">
        <f t="shared" si="450"/>
        <v>1.1572075628414221E-2</v>
      </c>
      <c r="L183">
        <f t="shared" si="450"/>
        <v>2.1238605040568778E-2</v>
      </c>
      <c r="M183">
        <f t="shared" si="450"/>
        <v>3.0905134452723339E-2</v>
      </c>
      <c r="N183">
        <f t="shared" si="450"/>
        <v>4.0571663864877892E-2</v>
      </c>
      <c r="O183">
        <f t="shared" ref="O183" si="451">O182/SUM($I182:$Z182)</f>
        <v>5.023819327703246E-2</v>
      </c>
      <c r="P183">
        <f t="shared" ref="P183" si="452">P182/SUM($I182:$Z182)</f>
        <v>5.9904722689187014E-2</v>
      </c>
      <c r="Q183">
        <f t="shared" ref="Q183" si="453">Q182/SUM($I182:$Z182)</f>
        <v>6.9571252101341574E-2</v>
      </c>
      <c r="R183">
        <f t="shared" ref="R183" si="454">R182/SUM($I182:$Z182)</f>
        <v>7.9237781513496128E-2</v>
      </c>
      <c r="S183">
        <f t="shared" ref="S183" si="455">S182/SUM($I182:$Z182)</f>
        <v>7.9237781513496128E-2</v>
      </c>
      <c r="T183">
        <f t="shared" ref="T183" si="456">T182/SUM($I182:$Z182)</f>
        <v>7.9237781513496128E-2</v>
      </c>
      <c r="U183">
        <f t="shared" ref="U183" si="457">U182/SUM($I182:$Z182)</f>
        <v>7.9237781513496128E-2</v>
      </c>
      <c r="V183">
        <f t="shared" ref="V183" si="458">V182/SUM($I182:$Z182)</f>
        <v>7.9237781513496128E-2</v>
      </c>
      <c r="W183">
        <f t="shared" ref="W183" si="459">W182/SUM($I182:$Z182)</f>
        <v>7.9237781513496128E-2</v>
      </c>
      <c r="X183">
        <f t="shared" ref="X183" si="460">X182/SUM($I182:$Z182)</f>
        <v>7.9237781513496128E-2</v>
      </c>
      <c r="Y183">
        <f t="shared" ref="Y183" si="461">Y182/SUM($I182:$Z182)</f>
        <v>7.9237781513496128E-2</v>
      </c>
      <c r="Z183">
        <f t="shared" ref="Z183" si="462">Z182/SUM($I182:$Z182)</f>
        <v>7.9237781513496128E-2</v>
      </c>
    </row>
    <row r="184" spans="1:27" outlineLevel="1" x14ac:dyDescent="0.3">
      <c r="E184" s="83"/>
      <c r="F184" s="83"/>
      <c r="G184" s="83"/>
      <c r="H184" s="83"/>
      <c r="I184" s="90">
        <f>I183*$D182</f>
        <v>22844.728449564907</v>
      </c>
      <c r="J184" s="90">
        <f>J183*$D182</f>
        <v>45689.456899129815</v>
      </c>
      <c r="K184" s="90">
        <f>K183*$D182</f>
        <v>277464.72174037009</v>
      </c>
      <c r="L184" s="90">
        <f>L183*$D182</f>
        <v>509239.98658161034</v>
      </c>
      <c r="M184" s="90">
        <f>M183*$D182</f>
        <v>741015.25142285065</v>
      </c>
      <c r="N184" s="90">
        <f t="shared" ref="N184" si="463">N183*$D182</f>
        <v>972790.51626409078</v>
      </c>
      <c r="O184" s="90">
        <f t="shared" ref="O184" si="464">O183*$D182</f>
        <v>1204565.7811053314</v>
      </c>
      <c r="P184" s="90">
        <f t="shared" ref="P184" si="465">P183*$D182</f>
        <v>1436341.0459465715</v>
      </c>
      <c r="Q184" s="90">
        <f t="shared" ref="Q184" si="466">Q183*$D182</f>
        <v>1668116.3107878119</v>
      </c>
      <c r="R184" s="90">
        <f t="shared" ref="R184" si="467">R183*$D182</f>
        <v>1899891.575629052</v>
      </c>
      <c r="S184" s="90">
        <f t="shared" ref="S184" si="468">S183*$D182</f>
        <v>1899891.575629052</v>
      </c>
      <c r="T184" s="90">
        <f t="shared" ref="T184" si="469">T183*$D182</f>
        <v>1899891.575629052</v>
      </c>
      <c r="U184" s="90">
        <f t="shared" ref="U184" si="470">U183*$D182</f>
        <v>1899891.575629052</v>
      </c>
      <c r="V184" s="90">
        <f t="shared" ref="V184" si="471">V183*$D182</f>
        <v>1899891.575629052</v>
      </c>
      <c r="W184" s="90">
        <f t="shared" ref="W184" si="472">W183*$D182</f>
        <v>1899891.575629052</v>
      </c>
      <c r="X184" s="90">
        <f t="shared" ref="X184" si="473">X183*$D182</f>
        <v>1899891.575629052</v>
      </c>
      <c r="Y184" s="90">
        <f t="shared" ref="Y184" si="474">Y183*$D182</f>
        <v>1899891.575629052</v>
      </c>
      <c r="Z184" s="90">
        <f t="shared" ref="Z184" si="475">Z183*$D182</f>
        <v>1899891.575629052</v>
      </c>
    </row>
    <row r="185" spans="1:27" x14ac:dyDescent="0.3">
      <c r="C185" s="76"/>
      <c r="D185" s="5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7" x14ac:dyDescent="0.3">
      <c r="A186" s="45" t="s">
        <v>12</v>
      </c>
      <c r="B186" s="45"/>
      <c r="C186" s="78"/>
      <c r="D186" s="46">
        <f>D24-D114</f>
        <v>82558415.232663751</v>
      </c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</row>
    <row r="187" spans="1:27" x14ac:dyDescent="0.3">
      <c r="C187" s="5"/>
      <c r="D187" s="5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7" x14ac:dyDescent="0.3">
      <c r="C188" s="5"/>
      <c r="D188" s="5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7" x14ac:dyDescent="0.3">
      <c r="C189" s="5"/>
      <c r="D189" s="5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7" x14ac:dyDescent="0.3">
      <c r="A190" s="2" t="s">
        <v>95</v>
      </c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7" x14ac:dyDescent="0.3">
      <c r="A191" t="s">
        <v>94</v>
      </c>
      <c r="B191" s="29" t="e">
        <f>-SUM(#REF!)</f>
        <v>#REF!</v>
      </c>
      <c r="D191" s="29" t="e">
        <f>SUM(B191:B192,B194)</f>
        <v>#REF!</v>
      </c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7" x14ac:dyDescent="0.3">
      <c r="A192" t="s">
        <v>96</v>
      </c>
      <c r="B192" s="29" t="e">
        <f>-(SUM(#REF!)+SUM(#REF!))</f>
        <v>#REF!</v>
      </c>
      <c r="D192" s="103" t="e">
        <f>B193/#REF!</f>
        <v>#REF!</v>
      </c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x14ac:dyDescent="0.3">
      <c r="A193" t="s">
        <v>97</v>
      </c>
      <c r="B193" s="29" t="e">
        <f>-SUM(#REF!)</f>
        <v>#REF!</v>
      </c>
      <c r="D193" s="103" t="e">
        <f>B195/#REF!</f>
        <v>#REF!</v>
      </c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x14ac:dyDescent="0.3">
      <c r="A194" t="s">
        <v>98</v>
      </c>
      <c r="B194" s="29" t="e">
        <f>-(SUM(#REF!)+SUM(#REF!))</f>
        <v>#REF!</v>
      </c>
      <c r="D194" s="103" t="e">
        <f>B195/#REF!</f>
        <v>#REF!</v>
      </c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x14ac:dyDescent="0.3">
      <c r="A195" t="s">
        <v>99</v>
      </c>
      <c r="B195" s="29" t="e">
        <f>-SUM(#REF!)</f>
        <v>#REF!</v>
      </c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x14ac:dyDescent="0.3">
      <c r="A196" t="str">
        <f>'Te publiceren businesscase'!A9</f>
        <v>Sneller en correcter factureren</v>
      </c>
      <c r="B196" s="29">
        <f>'Te publiceren businesscase'!D9</f>
        <v>85065781.6258028</v>
      </c>
      <c r="C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x14ac:dyDescent="0.3">
      <c r="A197" t="str">
        <f>'Te publiceren businesscase'!A10</f>
        <v>Efficiënter investeren in assets</v>
      </c>
      <c r="B197" s="29">
        <f>'Te publiceren businesscase'!D10</f>
        <v>88694635.544134051</v>
      </c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x14ac:dyDescent="0.3">
      <c r="A198" t="str">
        <f>'Te publiceren businesscase'!A11</f>
        <v>Minder personeelskost</v>
      </c>
      <c r="B198" s="29">
        <f>'Te publiceren businesscase'!D11</f>
        <v>201144032.07429898</v>
      </c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3">
      <c r="A199" t="str">
        <f>'Te publiceren businesscase'!A12</f>
        <v>Vermeden contaminaties</v>
      </c>
      <c r="B199" s="29">
        <f>'Te publiceren businesscase'!D12</f>
        <v>5122747.9977108352</v>
      </c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x14ac:dyDescent="0.3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x14ac:dyDescent="0.3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x14ac:dyDescent="0.3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x14ac:dyDescent="0.3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x14ac:dyDescent="0.3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x14ac:dyDescent="0.3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x14ac:dyDescent="0.3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x14ac:dyDescent="0.3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x14ac:dyDescent="0.3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9:26" x14ac:dyDescent="0.3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9:26" x14ac:dyDescent="0.3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9:26" x14ac:dyDescent="0.3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9:26" x14ac:dyDescent="0.3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9:26" x14ac:dyDescent="0.3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9:26" x14ac:dyDescent="0.3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9:26" x14ac:dyDescent="0.3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9:26" x14ac:dyDescent="0.3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9:26" x14ac:dyDescent="0.3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9:26" x14ac:dyDescent="0.3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9:26" x14ac:dyDescent="0.3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9:26" x14ac:dyDescent="0.3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9:26" x14ac:dyDescent="0.3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9:26" x14ac:dyDescent="0.3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9:26" x14ac:dyDescent="0.3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9:26" x14ac:dyDescent="0.3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3:26" x14ac:dyDescent="0.3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3:26" x14ac:dyDescent="0.3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3:26" x14ac:dyDescent="0.3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3:26" x14ac:dyDescent="0.3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3:26" x14ac:dyDescent="0.3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3:26" x14ac:dyDescent="0.3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3:26" x14ac:dyDescent="0.3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3:26" x14ac:dyDescent="0.3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3:26" x14ac:dyDescent="0.3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3:26" x14ac:dyDescent="0.3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3:26" x14ac:dyDescent="0.3">
      <c r="C235" s="5"/>
      <c r="D235" s="5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3:26" x14ac:dyDescent="0.3">
      <c r="C236" s="5"/>
      <c r="D236" s="5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3:26" x14ac:dyDescent="0.3">
      <c r="C237" s="5"/>
      <c r="D237" s="5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3:26" x14ac:dyDescent="0.3">
      <c r="C238" s="5"/>
      <c r="D238" s="5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3:26" x14ac:dyDescent="0.3">
      <c r="C239" s="5"/>
      <c r="D239" s="5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3:26" x14ac:dyDescent="0.3">
      <c r="C240" s="5"/>
      <c r="D240" s="5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3:26" x14ac:dyDescent="0.3">
      <c r="C241" s="5"/>
      <c r="D241" s="5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3:26" x14ac:dyDescent="0.3">
      <c r="C242" s="5"/>
      <c r="D242" s="5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3:26" x14ac:dyDescent="0.3">
      <c r="C243" s="5"/>
      <c r="D243" s="5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3:26" x14ac:dyDescent="0.3">
      <c r="C244" s="5"/>
      <c r="D244" s="5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3:26" x14ac:dyDescent="0.3">
      <c r="C245" s="5"/>
      <c r="D245" s="5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3:26" x14ac:dyDescent="0.3">
      <c r="C246" s="5"/>
      <c r="D246" s="5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3:26" x14ac:dyDescent="0.3">
      <c r="C247" s="5"/>
      <c r="D247" s="5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3:26" x14ac:dyDescent="0.3">
      <c r="C248" s="5"/>
      <c r="D248" s="5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3:26" x14ac:dyDescent="0.3">
      <c r="C249" s="5"/>
      <c r="D249" s="5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3:26" x14ac:dyDescent="0.3">
      <c r="C250" s="5"/>
      <c r="D250" s="5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3:26" x14ac:dyDescent="0.3">
      <c r="C251" s="5"/>
      <c r="D251" s="5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3:26" x14ac:dyDescent="0.3">
      <c r="C252" s="5"/>
      <c r="D252" s="5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3:26" x14ac:dyDescent="0.3">
      <c r="C253" s="5"/>
      <c r="D253" s="5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3:26" x14ac:dyDescent="0.3">
      <c r="C254" s="5"/>
      <c r="D254" s="5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3:26" x14ac:dyDescent="0.3">
      <c r="C255" s="5"/>
      <c r="D255" s="5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3:26" x14ac:dyDescent="0.3">
      <c r="C256" s="5"/>
      <c r="D256" s="5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3:26" x14ac:dyDescent="0.3">
      <c r="C257" s="5"/>
      <c r="D257" s="5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3:26" x14ac:dyDescent="0.3">
      <c r="C258" s="5"/>
      <c r="D258" s="5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3:26" x14ac:dyDescent="0.3">
      <c r="C259" s="5"/>
      <c r="D259" s="5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3:26" x14ac:dyDescent="0.3">
      <c r="C260" s="5"/>
      <c r="D260" s="5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3:26" x14ac:dyDescent="0.3">
      <c r="C261" s="5"/>
      <c r="D261" s="5"/>
    </row>
    <row r="262" spans="3:26" x14ac:dyDescent="0.3">
      <c r="C262" s="5"/>
      <c r="D262" s="5"/>
    </row>
    <row r="263" spans="3:26" x14ac:dyDescent="0.3">
      <c r="C263" s="5"/>
      <c r="D263" s="5"/>
    </row>
    <row r="264" spans="3:26" x14ac:dyDescent="0.3">
      <c r="C264" s="5"/>
      <c r="D264" s="5"/>
    </row>
    <row r="265" spans="3:26" x14ac:dyDescent="0.3">
      <c r="C265" s="5"/>
      <c r="D265" s="5"/>
    </row>
    <row r="266" spans="3:26" x14ac:dyDescent="0.3">
      <c r="C266" s="5"/>
      <c r="D266" s="5"/>
    </row>
    <row r="267" spans="3:26" x14ac:dyDescent="0.3">
      <c r="C267" s="5"/>
      <c r="D267" s="5"/>
    </row>
    <row r="268" spans="3:26" x14ac:dyDescent="0.3">
      <c r="C268" s="5"/>
      <c r="D268" s="5"/>
    </row>
    <row r="269" spans="3:26" x14ac:dyDescent="0.3">
      <c r="C269" s="5"/>
      <c r="D269" s="5"/>
    </row>
    <row r="270" spans="3:26" x14ac:dyDescent="0.3">
      <c r="C270" s="5"/>
      <c r="D270" s="5"/>
    </row>
    <row r="271" spans="3:26" x14ac:dyDescent="0.3">
      <c r="C271" s="5"/>
      <c r="D271" s="5"/>
    </row>
    <row r="272" spans="3:26" x14ac:dyDescent="0.3">
      <c r="C272" s="5"/>
      <c r="D272" s="5"/>
    </row>
    <row r="273" spans="3:4" x14ac:dyDescent="0.3">
      <c r="C273" s="5"/>
      <c r="D273" s="5"/>
    </row>
    <row r="274" spans="3:4" x14ac:dyDescent="0.3">
      <c r="C274" s="5"/>
      <c r="D274" s="5"/>
    </row>
    <row r="275" spans="3:4" x14ac:dyDescent="0.3">
      <c r="C275" s="5"/>
      <c r="D275" s="5"/>
    </row>
    <row r="276" spans="3:4" x14ac:dyDescent="0.3">
      <c r="C276" s="5"/>
      <c r="D276" s="5"/>
    </row>
    <row r="277" spans="3:4" x14ac:dyDescent="0.3">
      <c r="C277" s="5"/>
      <c r="D277" s="5"/>
    </row>
    <row r="278" spans="3:4" x14ac:dyDescent="0.3">
      <c r="C278" s="5"/>
      <c r="D278" s="5"/>
    </row>
    <row r="279" spans="3:4" x14ac:dyDescent="0.3">
      <c r="C279" s="5"/>
      <c r="D279" s="5"/>
    </row>
    <row r="280" spans="3:4" x14ac:dyDescent="0.3">
      <c r="C280" s="5"/>
      <c r="D280" s="5"/>
    </row>
    <row r="281" spans="3:4" x14ac:dyDescent="0.3">
      <c r="C281" s="5"/>
      <c r="D281" s="5"/>
    </row>
    <row r="282" spans="3:4" x14ac:dyDescent="0.3">
      <c r="C282" s="5"/>
      <c r="D282" s="5"/>
    </row>
    <row r="283" spans="3:4" x14ac:dyDescent="0.3">
      <c r="C283" s="5"/>
      <c r="D283" s="5"/>
    </row>
    <row r="284" spans="3:4" x14ac:dyDescent="0.3">
      <c r="C284" s="5"/>
      <c r="D284" s="5"/>
    </row>
    <row r="285" spans="3:4" x14ac:dyDescent="0.3">
      <c r="C285" s="5"/>
      <c r="D285" s="5"/>
    </row>
    <row r="286" spans="3:4" x14ac:dyDescent="0.3">
      <c r="C286" s="5"/>
      <c r="D286" s="5"/>
    </row>
    <row r="287" spans="3:4" x14ac:dyDescent="0.3">
      <c r="C287" s="5"/>
      <c r="D287" s="5"/>
    </row>
    <row r="288" spans="3:4" x14ac:dyDescent="0.3">
      <c r="C288" s="5"/>
      <c r="D288" s="5"/>
    </row>
    <row r="289" spans="3:4" x14ac:dyDescent="0.3">
      <c r="C289" s="5"/>
      <c r="D289" s="5"/>
    </row>
    <row r="290" spans="3:4" x14ac:dyDescent="0.3">
      <c r="C290" s="5"/>
      <c r="D290" s="5"/>
    </row>
    <row r="291" spans="3:4" x14ac:dyDescent="0.3">
      <c r="C291" s="5"/>
      <c r="D291" s="5"/>
    </row>
    <row r="292" spans="3:4" x14ac:dyDescent="0.3">
      <c r="C292" s="5"/>
      <c r="D292" s="5"/>
    </row>
    <row r="293" spans="3:4" x14ac:dyDescent="0.3">
      <c r="C293" s="5"/>
      <c r="D293" s="5"/>
    </row>
    <row r="294" spans="3:4" x14ac:dyDescent="0.3">
      <c r="C294" s="5"/>
      <c r="D294" s="5"/>
    </row>
    <row r="295" spans="3:4" x14ac:dyDescent="0.3">
      <c r="C295" s="5"/>
      <c r="D295" s="5"/>
    </row>
    <row r="296" spans="3:4" x14ac:dyDescent="0.3">
      <c r="C296" s="5"/>
      <c r="D296" s="5"/>
    </row>
    <row r="297" spans="3:4" x14ac:dyDescent="0.3">
      <c r="C297" s="5"/>
      <c r="D297" s="5"/>
    </row>
    <row r="298" spans="3:4" x14ac:dyDescent="0.3">
      <c r="C298" s="5"/>
      <c r="D298" s="5"/>
    </row>
    <row r="299" spans="3:4" x14ac:dyDescent="0.3">
      <c r="C299" s="5"/>
      <c r="D299" s="5"/>
    </row>
    <row r="300" spans="3:4" x14ac:dyDescent="0.3">
      <c r="C300" s="5"/>
      <c r="D300" s="5"/>
    </row>
    <row r="301" spans="3:4" x14ac:dyDescent="0.3">
      <c r="C301" s="5"/>
      <c r="D301" s="5"/>
    </row>
    <row r="302" spans="3:4" x14ac:dyDescent="0.3">
      <c r="C302" s="5"/>
      <c r="D302" s="5"/>
    </row>
    <row r="303" spans="3:4" x14ac:dyDescent="0.3">
      <c r="C303" s="5"/>
      <c r="D303" s="5"/>
    </row>
    <row r="304" spans="3:4" x14ac:dyDescent="0.3">
      <c r="C304" s="5"/>
      <c r="D304" s="5"/>
    </row>
    <row r="305" spans="3:4" x14ac:dyDescent="0.3">
      <c r="C305" s="5"/>
      <c r="D305" s="5"/>
    </row>
    <row r="306" spans="3:4" x14ac:dyDescent="0.3">
      <c r="C306" s="5"/>
      <c r="D306" s="5"/>
    </row>
    <row r="307" spans="3:4" x14ac:dyDescent="0.3">
      <c r="C307" s="5"/>
      <c r="D307" s="5"/>
    </row>
    <row r="308" spans="3:4" x14ac:dyDescent="0.3">
      <c r="C308" s="5"/>
      <c r="D308" s="5"/>
    </row>
    <row r="309" spans="3:4" x14ac:dyDescent="0.3">
      <c r="C309" s="5"/>
      <c r="D309" s="5"/>
    </row>
    <row r="310" spans="3:4" x14ac:dyDescent="0.3">
      <c r="C310" s="5"/>
      <c r="D310" s="5"/>
    </row>
    <row r="311" spans="3:4" x14ac:dyDescent="0.3">
      <c r="C311" s="5"/>
      <c r="D311" s="5"/>
    </row>
    <row r="312" spans="3:4" x14ac:dyDescent="0.3">
      <c r="C312" s="5"/>
      <c r="D312" s="5"/>
    </row>
    <row r="313" spans="3:4" x14ac:dyDescent="0.3">
      <c r="C313" s="5"/>
      <c r="D313" s="5"/>
    </row>
    <row r="314" spans="3:4" x14ac:dyDescent="0.3">
      <c r="C314" s="5"/>
      <c r="D314" s="5"/>
    </row>
    <row r="315" spans="3:4" x14ac:dyDescent="0.3">
      <c r="C315" s="5"/>
      <c r="D315" s="5"/>
    </row>
    <row r="316" spans="3:4" x14ac:dyDescent="0.3">
      <c r="C316" s="5"/>
      <c r="D316" s="5"/>
    </row>
    <row r="317" spans="3:4" x14ac:dyDescent="0.3">
      <c r="C317" s="5"/>
      <c r="D317" s="5"/>
    </row>
    <row r="318" spans="3:4" x14ac:dyDescent="0.3">
      <c r="C318" s="5"/>
      <c r="D318" s="5"/>
    </row>
    <row r="319" spans="3:4" x14ac:dyDescent="0.3">
      <c r="C319" s="5"/>
      <c r="D319" s="5"/>
    </row>
    <row r="320" spans="3:4" x14ac:dyDescent="0.3">
      <c r="C320" s="5"/>
      <c r="D320" s="5"/>
    </row>
    <row r="321" spans="3:4" x14ac:dyDescent="0.3">
      <c r="C321" s="5"/>
      <c r="D321" s="5"/>
    </row>
    <row r="322" spans="3:4" x14ac:dyDescent="0.3">
      <c r="C322" s="5"/>
      <c r="D322" s="5"/>
    </row>
    <row r="323" spans="3:4" x14ac:dyDescent="0.3">
      <c r="C323" s="5"/>
      <c r="D323" s="5"/>
    </row>
    <row r="324" spans="3:4" x14ac:dyDescent="0.3">
      <c r="C324" s="5"/>
      <c r="D324" s="5"/>
    </row>
    <row r="325" spans="3:4" x14ac:dyDescent="0.3">
      <c r="C325" s="5"/>
      <c r="D325" s="5"/>
    </row>
    <row r="326" spans="3:4" x14ac:dyDescent="0.3">
      <c r="C326" s="5"/>
      <c r="D326" s="5"/>
    </row>
    <row r="327" spans="3:4" x14ac:dyDescent="0.3">
      <c r="C327" s="5"/>
      <c r="D327" s="5"/>
    </row>
    <row r="328" spans="3:4" x14ac:dyDescent="0.3">
      <c r="C328" s="5"/>
      <c r="D328" s="5"/>
    </row>
    <row r="329" spans="3:4" x14ac:dyDescent="0.3">
      <c r="C329" s="5"/>
      <c r="D329" s="5"/>
    </row>
    <row r="330" spans="3:4" x14ac:dyDescent="0.3">
      <c r="C330" s="5"/>
      <c r="D330" s="5"/>
    </row>
    <row r="331" spans="3:4" x14ac:dyDescent="0.3">
      <c r="C331" s="5"/>
      <c r="D331" s="5"/>
    </row>
    <row r="332" spans="3:4" x14ac:dyDescent="0.3">
      <c r="C332" s="5"/>
      <c r="D332" s="5"/>
    </row>
    <row r="333" spans="3:4" x14ac:dyDescent="0.3">
      <c r="C333" s="5"/>
      <c r="D333" s="5"/>
    </row>
    <row r="334" spans="3:4" x14ac:dyDescent="0.3">
      <c r="C334" s="5"/>
      <c r="D334" s="5"/>
    </row>
    <row r="335" spans="3:4" x14ac:dyDescent="0.3">
      <c r="C335" s="5"/>
      <c r="D335" s="5"/>
    </row>
    <row r="336" spans="3:4" x14ac:dyDescent="0.3">
      <c r="C336" s="5"/>
      <c r="D336" s="5"/>
    </row>
    <row r="337" spans="3:4" x14ac:dyDescent="0.3">
      <c r="C337" s="5"/>
      <c r="D337" s="5"/>
    </row>
    <row r="338" spans="3:4" x14ac:dyDescent="0.3">
      <c r="C338" s="5"/>
      <c r="D338" s="5"/>
    </row>
    <row r="339" spans="3:4" x14ac:dyDescent="0.3">
      <c r="C339" s="5"/>
      <c r="D339" s="5"/>
    </row>
    <row r="340" spans="3:4" x14ac:dyDescent="0.3">
      <c r="C340" s="5"/>
      <c r="D340" s="5"/>
    </row>
    <row r="341" spans="3:4" x14ac:dyDescent="0.3">
      <c r="C341" s="5"/>
      <c r="D341" s="5"/>
    </row>
    <row r="342" spans="3:4" x14ac:dyDescent="0.3">
      <c r="C342" s="5"/>
      <c r="D342" s="5"/>
    </row>
    <row r="343" spans="3:4" x14ac:dyDescent="0.3">
      <c r="C343" s="5"/>
      <c r="D343" s="5"/>
    </row>
    <row r="344" spans="3:4" x14ac:dyDescent="0.3">
      <c r="C344" s="5"/>
      <c r="D344" s="5"/>
    </row>
    <row r="345" spans="3:4" x14ac:dyDescent="0.3">
      <c r="C345" s="5"/>
      <c r="D345" s="5"/>
    </row>
    <row r="346" spans="3:4" x14ac:dyDescent="0.3">
      <c r="C346" s="5"/>
      <c r="D346" s="5"/>
    </row>
    <row r="347" spans="3:4" x14ac:dyDescent="0.3">
      <c r="C347" s="5"/>
      <c r="D347" s="5"/>
    </row>
    <row r="348" spans="3:4" x14ac:dyDescent="0.3">
      <c r="C348" s="5"/>
      <c r="D348" s="5"/>
    </row>
    <row r="349" spans="3:4" x14ac:dyDescent="0.3">
      <c r="C349" s="5"/>
      <c r="D349" s="5"/>
    </row>
    <row r="350" spans="3:4" x14ac:dyDescent="0.3">
      <c r="C350" s="5"/>
      <c r="D350" s="5"/>
    </row>
    <row r="351" spans="3:4" x14ac:dyDescent="0.3">
      <c r="C351" s="5"/>
      <c r="D351" s="5"/>
    </row>
    <row r="352" spans="3:4" x14ac:dyDescent="0.3">
      <c r="C352" s="5"/>
      <c r="D352" s="5"/>
    </row>
    <row r="353" spans="3:4" x14ac:dyDescent="0.3">
      <c r="C353" s="5"/>
      <c r="D353" s="5"/>
    </row>
    <row r="354" spans="3:4" x14ac:dyDescent="0.3">
      <c r="C354" s="5"/>
      <c r="D354" s="5"/>
    </row>
    <row r="355" spans="3:4" x14ac:dyDescent="0.3">
      <c r="C355" s="5"/>
      <c r="D355" s="5"/>
    </row>
    <row r="356" spans="3:4" x14ac:dyDescent="0.3">
      <c r="C356" s="5"/>
      <c r="D356" s="5"/>
    </row>
    <row r="357" spans="3:4" x14ac:dyDescent="0.3">
      <c r="C357" s="5"/>
      <c r="D357" s="5"/>
    </row>
    <row r="358" spans="3:4" x14ac:dyDescent="0.3">
      <c r="C358" s="5"/>
      <c r="D358" s="5"/>
    </row>
    <row r="359" spans="3:4" x14ac:dyDescent="0.3">
      <c r="C359" s="5"/>
      <c r="D359" s="5"/>
    </row>
    <row r="360" spans="3:4" x14ac:dyDescent="0.3">
      <c r="C360" s="5"/>
      <c r="D360" s="5"/>
    </row>
    <row r="361" spans="3:4" x14ac:dyDescent="0.3">
      <c r="C361" s="5"/>
      <c r="D361" s="5"/>
    </row>
    <row r="362" spans="3:4" x14ac:dyDescent="0.3">
      <c r="C362" s="5"/>
      <c r="D362" s="5"/>
    </row>
    <row r="363" spans="3:4" x14ac:dyDescent="0.3">
      <c r="C363" s="5"/>
      <c r="D363" s="5"/>
    </row>
    <row r="364" spans="3:4" x14ac:dyDescent="0.3">
      <c r="C364" s="5"/>
      <c r="D364" s="5"/>
    </row>
    <row r="365" spans="3:4" x14ac:dyDescent="0.3">
      <c r="C365" s="5"/>
      <c r="D365" s="5"/>
    </row>
    <row r="366" spans="3:4" x14ac:dyDescent="0.3">
      <c r="C366" s="5"/>
      <c r="D366" s="5"/>
    </row>
    <row r="367" spans="3:4" x14ac:dyDescent="0.3">
      <c r="C367" s="5"/>
      <c r="D367" s="5"/>
    </row>
    <row r="368" spans="3:4" x14ac:dyDescent="0.3">
      <c r="C368" s="5"/>
      <c r="D368" s="5"/>
    </row>
    <row r="369" spans="3:4" x14ac:dyDescent="0.3">
      <c r="C369" s="5"/>
      <c r="D369" s="5"/>
    </row>
    <row r="370" spans="3:4" x14ac:dyDescent="0.3">
      <c r="C370" s="5"/>
      <c r="D370" s="5"/>
    </row>
    <row r="371" spans="3:4" x14ac:dyDescent="0.3">
      <c r="C371" s="5"/>
      <c r="D371" s="5"/>
    </row>
    <row r="372" spans="3:4" x14ac:dyDescent="0.3">
      <c r="C372" s="5"/>
      <c r="D372" s="5"/>
    </row>
    <row r="373" spans="3:4" x14ac:dyDescent="0.3">
      <c r="C373" s="5"/>
      <c r="D373" s="5"/>
    </row>
    <row r="374" spans="3:4" x14ac:dyDescent="0.3">
      <c r="C374" s="5"/>
      <c r="D374" s="5"/>
    </row>
    <row r="375" spans="3:4" x14ac:dyDescent="0.3">
      <c r="C375" s="5"/>
      <c r="D375" s="5"/>
    </row>
    <row r="376" spans="3:4" x14ac:dyDescent="0.3">
      <c r="C376" s="5"/>
      <c r="D376" s="5"/>
    </row>
    <row r="377" spans="3:4" x14ac:dyDescent="0.3">
      <c r="C377" s="5"/>
      <c r="D377" s="5"/>
    </row>
    <row r="378" spans="3:4" x14ac:dyDescent="0.3">
      <c r="C378" s="5"/>
      <c r="D378" s="5"/>
    </row>
    <row r="379" spans="3:4" x14ac:dyDescent="0.3">
      <c r="C379" s="5"/>
      <c r="D379" s="5"/>
    </row>
    <row r="380" spans="3:4" x14ac:dyDescent="0.3">
      <c r="C380" s="5"/>
      <c r="D380" s="5"/>
    </row>
    <row r="381" spans="3:4" x14ac:dyDescent="0.3">
      <c r="C381" s="5"/>
      <c r="D381" s="5"/>
    </row>
    <row r="382" spans="3:4" x14ac:dyDescent="0.3">
      <c r="C382" s="5"/>
      <c r="D382" s="5"/>
    </row>
    <row r="383" spans="3:4" x14ac:dyDescent="0.3">
      <c r="C383" s="5"/>
      <c r="D383" s="5"/>
    </row>
    <row r="384" spans="3:4" x14ac:dyDescent="0.3">
      <c r="C384" s="5"/>
      <c r="D384" s="5"/>
    </row>
    <row r="385" spans="3:4" x14ac:dyDescent="0.3">
      <c r="C385" s="5"/>
      <c r="D385" s="5"/>
    </row>
    <row r="386" spans="3:4" x14ac:dyDescent="0.3">
      <c r="C386" s="5"/>
      <c r="D386" s="5"/>
    </row>
    <row r="387" spans="3:4" x14ac:dyDescent="0.3">
      <c r="C387" s="5"/>
      <c r="D387" s="5"/>
    </row>
    <row r="388" spans="3:4" x14ac:dyDescent="0.3">
      <c r="C388" s="5"/>
      <c r="D388" s="5"/>
    </row>
    <row r="389" spans="3:4" x14ac:dyDescent="0.3">
      <c r="C389" s="5"/>
      <c r="D389" s="5"/>
    </row>
    <row r="390" spans="3:4" x14ac:dyDescent="0.3">
      <c r="C390" s="5"/>
      <c r="D390" s="5"/>
    </row>
    <row r="391" spans="3:4" x14ac:dyDescent="0.3">
      <c r="C391" s="5"/>
      <c r="D391" s="5"/>
    </row>
    <row r="392" spans="3:4" x14ac:dyDescent="0.3">
      <c r="C392" s="5"/>
      <c r="D392" s="5"/>
    </row>
    <row r="393" spans="3:4" x14ac:dyDescent="0.3">
      <c r="C393" s="5"/>
      <c r="D393" s="5"/>
    </row>
    <row r="394" spans="3:4" x14ac:dyDescent="0.3">
      <c r="C394" s="5"/>
      <c r="D394" s="5"/>
    </row>
    <row r="395" spans="3:4" x14ac:dyDescent="0.3">
      <c r="C395" s="5"/>
      <c r="D395" s="5"/>
    </row>
    <row r="396" spans="3:4" x14ac:dyDescent="0.3">
      <c r="C396" s="5"/>
      <c r="D396" s="5"/>
    </row>
    <row r="397" spans="3:4" x14ac:dyDescent="0.3">
      <c r="C397" s="5"/>
      <c r="D397" s="5"/>
    </row>
    <row r="398" spans="3:4" x14ac:dyDescent="0.3">
      <c r="C398" s="5"/>
      <c r="D398" s="5"/>
    </row>
    <row r="399" spans="3:4" x14ac:dyDescent="0.3">
      <c r="C399" s="5"/>
      <c r="D399" s="5"/>
    </row>
    <row r="400" spans="3:4" x14ac:dyDescent="0.3">
      <c r="C400" s="5"/>
      <c r="D400" s="5"/>
    </row>
    <row r="401" spans="3:4" x14ac:dyDescent="0.3">
      <c r="C401" s="5"/>
      <c r="D401" s="5"/>
    </row>
    <row r="402" spans="3:4" x14ac:dyDescent="0.3">
      <c r="C402" s="5"/>
      <c r="D402" s="5"/>
    </row>
    <row r="403" spans="3:4" x14ac:dyDescent="0.3">
      <c r="C403" s="5"/>
      <c r="D403" s="5"/>
    </row>
    <row r="404" spans="3:4" x14ac:dyDescent="0.3">
      <c r="C404" s="5"/>
      <c r="D404" s="5"/>
    </row>
    <row r="405" spans="3:4" x14ac:dyDescent="0.3">
      <c r="C405" s="5"/>
      <c r="D405" s="5"/>
    </row>
    <row r="406" spans="3:4" x14ac:dyDescent="0.3">
      <c r="C406" s="5"/>
      <c r="D406" s="5"/>
    </row>
    <row r="407" spans="3:4" x14ac:dyDescent="0.3">
      <c r="C407" s="5"/>
      <c r="D407" s="5"/>
    </row>
    <row r="408" spans="3:4" x14ac:dyDescent="0.3">
      <c r="C408" s="5"/>
      <c r="D408" s="5"/>
    </row>
    <row r="409" spans="3:4" x14ac:dyDescent="0.3">
      <c r="C409" s="5"/>
      <c r="D409" s="5"/>
    </row>
    <row r="410" spans="3:4" x14ac:dyDescent="0.3">
      <c r="C410" s="5"/>
      <c r="D410" s="5"/>
    </row>
    <row r="411" spans="3:4" x14ac:dyDescent="0.3">
      <c r="C411" s="5"/>
      <c r="D411" s="5"/>
    </row>
    <row r="412" spans="3:4" x14ac:dyDescent="0.3">
      <c r="C412" s="5"/>
      <c r="D412" s="5"/>
    </row>
    <row r="413" spans="3:4" x14ac:dyDescent="0.3">
      <c r="C413" s="5"/>
      <c r="D413" s="5"/>
    </row>
    <row r="414" spans="3:4" x14ac:dyDescent="0.3">
      <c r="C414" s="5"/>
      <c r="D414" s="5"/>
    </row>
    <row r="415" spans="3:4" x14ac:dyDescent="0.3">
      <c r="C415" s="5"/>
      <c r="D415" s="5"/>
    </row>
    <row r="416" spans="3:4" x14ac:dyDescent="0.3">
      <c r="C416" s="5"/>
      <c r="D416" s="5"/>
    </row>
    <row r="417" spans="3:4" x14ac:dyDescent="0.3">
      <c r="C417" s="5"/>
      <c r="D417" s="5"/>
    </row>
    <row r="418" spans="3:4" x14ac:dyDescent="0.3">
      <c r="C418" s="5"/>
      <c r="D418" s="5"/>
    </row>
    <row r="419" spans="3:4" x14ac:dyDescent="0.3">
      <c r="C419" s="5"/>
      <c r="D419" s="5"/>
    </row>
    <row r="420" spans="3:4" x14ac:dyDescent="0.3">
      <c r="C420" s="5"/>
      <c r="D420" s="5"/>
    </row>
    <row r="421" spans="3:4" x14ac:dyDescent="0.3">
      <c r="C421" s="5"/>
      <c r="D421" s="5"/>
    </row>
    <row r="422" spans="3:4" x14ac:dyDescent="0.3">
      <c r="C422" s="5"/>
      <c r="D422" s="5"/>
    </row>
    <row r="423" spans="3:4" x14ac:dyDescent="0.3">
      <c r="C423" s="5"/>
      <c r="D423" s="5"/>
    </row>
    <row r="424" spans="3:4" x14ac:dyDescent="0.3">
      <c r="C424" s="5"/>
      <c r="D424" s="5"/>
    </row>
    <row r="425" spans="3:4" x14ac:dyDescent="0.3">
      <c r="C425" s="5"/>
      <c r="D425" s="5"/>
    </row>
    <row r="426" spans="3:4" x14ac:dyDescent="0.3">
      <c r="C426" s="5"/>
      <c r="D426" s="5"/>
    </row>
    <row r="427" spans="3:4" x14ac:dyDescent="0.3">
      <c r="C427" s="5"/>
      <c r="D427" s="5"/>
    </row>
    <row r="428" spans="3:4" x14ac:dyDescent="0.3">
      <c r="C428" s="5"/>
      <c r="D428" s="5"/>
    </row>
    <row r="429" spans="3:4" x14ac:dyDescent="0.3">
      <c r="C429" s="5"/>
      <c r="D429" s="5"/>
    </row>
    <row r="430" spans="3:4" x14ac:dyDescent="0.3">
      <c r="C430" s="5"/>
      <c r="D430" s="5"/>
    </row>
    <row r="431" spans="3:4" x14ac:dyDescent="0.3">
      <c r="C431" s="5"/>
      <c r="D431" s="5"/>
    </row>
    <row r="432" spans="3:4" x14ac:dyDescent="0.3">
      <c r="C432" s="5"/>
      <c r="D432" s="5"/>
    </row>
    <row r="433" spans="3:4" x14ac:dyDescent="0.3">
      <c r="C433" s="5"/>
      <c r="D433" s="5"/>
    </row>
    <row r="434" spans="3:4" x14ac:dyDescent="0.3">
      <c r="C434" s="5"/>
      <c r="D434" s="5"/>
    </row>
    <row r="435" spans="3:4" x14ac:dyDescent="0.3">
      <c r="C435" s="5"/>
      <c r="D435" s="5"/>
    </row>
    <row r="436" spans="3:4" x14ac:dyDescent="0.3">
      <c r="C436" s="5"/>
      <c r="D436" s="5"/>
    </row>
    <row r="437" spans="3:4" x14ac:dyDescent="0.3">
      <c r="C437" s="5"/>
      <c r="D437" s="5"/>
    </row>
    <row r="438" spans="3:4" x14ac:dyDescent="0.3">
      <c r="C438" s="5"/>
      <c r="D438" s="5"/>
    </row>
    <row r="439" spans="3:4" x14ac:dyDescent="0.3">
      <c r="C439" s="5"/>
      <c r="D439" s="5"/>
    </row>
    <row r="440" spans="3:4" x14ac:dyDescent="0.3">
      <c r="C440" s="5"/>
      <c r="D440" s="5"/>
    </row>
    <row r="441" spans="3:4" x14ac:dyDescent="0.3">
      <c r="C441" s="5"/>
      <c r="D441" s="5"/>
    </row>
    <row r="442" spans="3:4" x14ac:dyDescent="0.3">
      <c r="C442" s="5"/>
      <c r="D442" s="5"/>
    </row>
    <row r="443" spans="3:4" x14ac:dyDescent="0.3">
      <c r="C443" s="5"/>
      <c r="D443" s="5"/>
    </row>
    <row r="444" spans="3:4" x14ac:dyDescent="0.3">
      <c r="C444" s="5"/>
      <c r="D444" s="5"/>
    </row>
    <row r="445" spans="3:4" x14ac:dyDescent="0.3">
      <c r="C445" s="5"/>
      <c r="D445" s="5"/>
    </row>
    <row r="446" spans="3:4" x14ac:dyDescent="0.3">
      <c r="C446" s="5"/>
      <c r="D446" s="5"/>
    </row>
    <row r="447" spans="3:4" x14ac:dyDescent="0.3">
      <c r="C447" s="5"/>
      <c r="D447" s="5"/>
    </row>
    <row r="448" spans="3:4" x14ac:dyDescent="0.3">
      <c r="C448" s="5"/>
      <c r="D448" s="5"/>
    </row>
    <row r="449" spans="3:4" x14ac:dyDescent="0.3">
      <c r="C449" s="5"/>
      <c r="D449" s="5"/>
    </row>
    <row r="450" spans="3:4" x14ac:dyDescent="0.3">
      <c r="C450" s="5"/>
      <c r="D450" s="5"/>
    </row>
    <row r="451" spans="3:4" x14ac:dyDescent="0.3">
      <c r="C451" s="5"/>
      <c r="D451" s="5"/>
    </row>
    <row r="452" spans="3:4" x14ac:dyDescent="0.3">
      <c r="C452" s="5"/>
      <c r="D452" s="5"/>
    </row>
    <row r="453" spans="3:4" x14ac:dyDescent="0.3">
      <c r="C453" s="5"/>
      <c r="D453" s="5"/>
    </row>
    <row r="454" spans="3:4" x14ac:dyDescent="0.3">
      <c r="C454" s="5"/>
      <c r="D454" s="5"/>
    </row>
    <row r="455" spans="3:4" x14ac:dyDescent="0.3">
      <c r="C455" s="5"/>
      <c r="D455" s="5"/>
    </row>
    <row r="456" spans="3:4" x14ac:dyDescent="0.3">
      <c r="C456" s="5"/>
      <c r="D456" s="5"/>
    </row>
    <row r="457" spans="3:4" x14ac:dyDescent="0.3">
      <c r="C457" s="5"/>
      <c r="D457" s="5"/>
    </row>
    <row r="458" spans="3:4" x14ac:dyDescent="0.3">
      <c r="C458" s="5"/>
      <c r="D458" s="5"/>
    </row>
    <row r="459" spans="3:4" x14ac:dyDescent="0.3">
      <c r="C459" s="5"/>
      <c r="D459" s="5"/>
    </row>
    <row r="460" spans="3:4" x14ac:dyDescent="0.3">
      <c r="C460" s="5"/>
      <c r="D460" s="5"/>
    </row>
    <row r="461" spans="3:4" x14ac:dyDescent="0.3">
      <c r="C461" s="5"/>
      <c r="D461" s="5"/>
    </row>
    <row r="462" spans="3:4" x14ac:dyDescent="0.3">
      <c r="C462" s="5"/>
      <c r="D462" s="5"/>
    </row>
    <row r="463" spans="3:4" x14ac:dyDescent="0.3">
      <c r="C463" s="5"/>
      <c r="D463" s="5"/>
    </row>
    <row r="464" spans="3:4" x14ac:dyDescent="0.3">
      <c r="C464" s="5"/>
      <c r="D464" s="5"/>
    </row>
    <row r="465" spans="3:4" x14ac:dyDescent="0.3">
      <c r="C465" s="5"/>
      <c r="D465" s="5"/>
    </row>
    <row r="466" spans="3:4" x14ac:dyDescent="0.3">
      <c r="C466" s="5"/>
      <c r="D466" s="5"/>
    </row>
    <row r="467" spans="3:4" x14ac:dyDescent="0.3">
      <c r="C467" s="5"/>
      <c r="D467" s="5"/>
    </row>
    <row r="468" spans="3:4" x14ac:dyDescent="0.3">
      <c r="C468" s="5"/>
      <c r="D468" s="5"/>
    </row>
    <row r="469" spans="3:4" x14ac:dyDescent="0.3">
      <c r="C469" s="5"/>
      <c r="D469" s="5"/>
    </row>
    <row r="470" spans="3:4" x14ac:dyDescent="0.3">
      <c r="C470" s="5"/>
      <c r="D470" s="5"/>
    </row>
    <row r="471" spans="3:4" x14ac:dyDescent="0.3">
      <c r="C471" s="5"/>
      <c r="D471" s="5"/>
    </row>
    <row r="472" spans="3:4" x14ac:dyDescent="0.3">
      <c r="C472" s="5"/>
      <c r="D472" s="5"/>
    </row>
    <row r="473" spans="3:4" x14ac:dyDescent="0.3">
      <c r="C473" s="5"/>
      <c r="D473" s="5"/>
    </row>
    <row r="474" spans="3:4" x14ac:dyDescent="0.3">
      <c r="C474" s="5"/>
      <c r="D474" s="5"/>
    </row>
    <row r="475" spans="3:4" x14ac:dyDescent="0.3">
      <c r="C475" s="5"/>
      <c r="D475" s="5"/>
    </row>
    <row r="476" spans="3:4" x14ac:dyDescent="0.3">
      <c r="C476" s="5"/>
      <c r="D476" s="5"/>
    </row>
    <row r="477" spans="3:4" x14ac:dyDescent="0.3">
      <c r="C477" s="5"/>
      <c r="D477" s="5"/>
    </row>
    <row r="478" spans="3:4" x14ac:dyDescent="0.3">
      <c r="C478" s="5"/>
      <c r="D478" s="5"/>
    </row>
    <row r="479" spans="3:4" x14ac:dyDescent="0.3">
      <c r="C479" s="5"/>
      <c r="D479" s="5"/>
    </row>
    <row r="480" spans="3:4" x14ac:dyDescent="0.3">
      <c r="C480" s="5"/>
      <c r="D480" s="5"/>
    </row>
    <row r="481" spans="3:4" x14ac:dyDescent="0.3">
      <c r="C481" s="5"/>
      <c r="D481" s="5"/>
    </row>
    <row r="482" spans="3:4" x14ac:dyDescent="0.3">
      <c r="C482" s="5"/>
      <c r="D482" s="5"/>
    </row>
    <row r="483" spans="3:4" x14ac:dyDescent="0.3">
      <c r="C483" s="5"/>
      <c r="D483" s="5"/>
    </row>
    <row r="484" spans="3:4" x14ac:dyDescent="0.3">
      <c r="C484" s="5"/>
      <c r="D484" s="5"/>
    </row>
    <row r="485" spans="3:4" x14ac:dyDescent="0.3">
      <c r="C485" s="5"/>
      <c r="D485" s="5"/>
    </row>
    <row r="486" spans="3:4" x14ac:dyDescent="0.3">
      <c r="C486" s="5"/>
      <c r="D486" s="5"/>
    </row>
    <row r="487" spans="3:4" x14ac:dyDescent="0.3">
      <c r="C487" s="5"/>
      <c r="D487" s="5"/>
    </row>
    <row r="488" spans="3:4" x14ac:dyDescent="0.3">
      <c r="C488" s="5"/>
      <c r="D488" s="5"/>
    </row>
    <row r="489" spans="3:4" x14ac:dyDescent="0.3">
      <c r="C489" s="5"/>
      <c r="D489" s="5"/>
    </row>
    <row r="490" spans="3:4" x14ac:dyDescent="0.3">
      <c r="C490" s="5"/>
      <c r="D490" s="5"/>
    </row>
    <row r="491" spans="3:4" x14ac:dyDescent="0.3">
      <c r="C491" s="5"/>
      <c r="D491" s="5"/>
    </row>
    <row r="492" spans="3:4" x14ac:dyDescent="0.3">
      <c r="C492" s="5"/>
      <c r="D492" s="5"/>
    </row>
    <row r="493" spans="3:4" x14ac:dyDescent="0.3">
      <c r="C493" s="5"/>
      <c r="D493" s="5"/>
    </row>
    <row r="494" spans="3:4" x14ac:dyDescent="0.3">
      <c r="C494" s="5"/>
      <c r="D494" s="5"/>
    </row>
    <row r="495" spans="3:4" x14ac:dyDescent="0.3">
      <c r="C495" s="5"/>
      <c r="D495" s="5"/>
    </row>
    <row r="496" spans="3:4" x14ac:dyDescent="0.3">
      <c r="C496" s="5"/>
      <c r="D496" s="5"/>
    </row>
    <row r="497" spans="3:4" x14ac:dyDescent="0.3">
      <c r="C497" s="5"/>
      <c r="D497" s="5"/>
    </row>
    <row r="498" spans="3:4" x14ac:dyDescent="0.3">
      <c r="C498" s="5"/>
      <c r="D498" s="5"/>
    </row>
    <row r="499" spans="3:4" x14ac:dyDescent="0.3">
      <c r="C499" s="5"/>
      <c r="D499" s="5"/>
    </row>
    <row r="500" spans="3:4" x14ac:dyDescent="0.3">
      <c r="C500" s="5"/>
      <c r="D500" s="5"/>
    </row>
    <row r="501" spans="3:4" x14ac:dyDescent="0.3">
      <c r="C501" s="5"/>
      <c r="D501" s="5"/>
    </row>
    <row r="502" spans="3:4" x14ac:dyDescent="0.3">
      <c r="C502" s="5"/>
      <c r="D502" s="5"/>
    </row>
    <row r="503" spans="3:4" x14ac:dyDescent="0.3">
      <c r="C503" s="5"/>
      <c r="D503" s="5"/>
    </row>
    <row r="504" spans="3:4" x14ac:dyDescent="0.3">
      <c r="C504" s="5"/>
      <c r="D504" s="5"/>
    </row>
    <row r="505" spans="3:4" x14ac:dyDescent="0.3">
      <c r="C505" s="5"/>
      <c r="D505" s="5"/>
    </row>
    <row r="506" spans="3:4" x14ac:dyDescent="0.3">
      <c r="C506" s="5"/>
      <c r="D506" s="5"/>
    </row>
    <row r="507" spans="3:4" x14ac:dyDescent="0.3">
      <c r="C507" s="5"/>
      <c r="D507" s="5"/>
    </row>
    <row r="508" spans="3:4" x14ac:dyDescent="0.3">
      <c r="C508" s="5"/>
      <c r="D508" s="5"/>
    </row>
    <row r="509" spans="3:4" x14ac:dyDescent="0.3">
      <c r="C509" s="5"/>
      <c r="D509" s="5"/>
    </row>
    <row r="510" spans="3:4" x14ac:dyDescent="0.3">
      <c r="C510" s="5"/>
      <c r="D510" s="5"/>
    </row>
    <row r="511" spans="3:4" x14ac:dyDescent="0.3">
      <c r="C511" s="5"/>
      <c r="D511" s="5"/>
    </row>
    <row r="512" spans="3:4" x14ac:dyDescent="0.3">
      <c r="C512" s="5"/>
      <c r="D512" s="5"/>
    </row>
    <row r="513" spans="3:4" x14ac:dyDescent="0.3">
      <c r="C513" s="5"/>
      <c r="D513" s="5"/>
    </row>
    <row r="514" spans="3:4" x14ac:dyDescent="0.3">
      <c r="C514" s="5"/>
      <c r="D514" s="5"/>
    </row>
    <row r="515" spans="3:4" x14ac:dyDescent="0.3">
      <c r="C515" s="5"/>
      <c r="D515" s="5"/>
    </row>
    <row r="516" spans="3:4" x14ac:dyDescent="0.3">
      <c r="C516" s="5"/>
      <c r="D516" s="5"/>
    </row>
    <row r="517" spans="3:4" x14ac:dyDescent="0.3">
      <c r="C517" s="5"/>
      <c r="D517" s="5"/>
    </row>
    <row r="518" spans="3:4" x14ac:dyDescent="0.3">
      <c r="C518" s="5"/>
      <c r="D518" s="5"/>
    </row>
    <row r="519" spans="3:4" x14ac:dyDescent="0.3">
      <c r="C519" s="5"/>
      <c r="D519" s="5"/>
    </row>
    <row r="520" spans="3:4" x14ac:dyDescent="0.3">
      <c r="C520" s="5"/>
      <c r="D520" s="5"/>
    </row>
    <row r="521" spans="3:4" x14ac:dyDescent="0.3">
      <c r="C521" s="5"/>
      <c r="D521" s="5"/>
    </row>
    <row r="522" spans="3:4" x14ac:dyDescent="0.3">
      <c r="C522" s="5"/>
      <c r="D522" s="5"/>
    </row>
    <row r="523" spans="3:4" x14ac:dyDescent="0.3">
      <c r="C523" s="5"/>
      <c r="D523" s="5"/>
    </row>
    <row r="524" spans="3:4" x14ac:dyDescent="0.3">
      <c r="C524" s="5"/>
      <c r="D524" s="5"/>
    </row>
    <row r="525" spans="3:4" x14ac:dyDescent="0.3">
      <c r="C525" s="5"/>
      <c r="D525" s="5"/>
    </row>
    <row r="526" spans="3:4" x14ac:dyDescent="0.3">
      <c r="C526" s="5"/>
      <c r="D526" s="5"/>
    </row>
    <row r="527" spans="3:4" x14ac:dyDescent="0.3">
      <c r="C527" s="5"/>
      <c r="D527" s="5"/>
    </row>
    <row r="528" spans="3:4" x14ac:dyDescent="0.3">
      <c r="C528" s="5"/>
      <c r="D528" s="5"/>
    </row>
    <row r="529" spans="3:4" x14ac:dyDescent="0.3">
      <c r="C529" s="5"/>
      <c r="D529" s="5"/>
    </row>
    <row r="530" spans="3:4" x14ac:dyDescent="0.3">
      <c r="C530" s="5"/>
      <c r="D530" s="5"/>
    </row>
    <row r="531" spans="3:4" x14ac:dyDescent="0.3">
      <c r="C531" s="5"/>
      <c r="D531" s="5"/>
    </row>
    <row r="532" spans="3:4" x14ac:dyDescent="0.3">
      <c r="C532" s="5"/>
      <c r="D532" s="5"/>
    </row>
    <row r="533" spans="3:4" x14ac:dyDescent="0.3">
      <c r="C533" s="5"/>
      <c r="D533" s="5"/>
    </row>
    <row r="534" spans="3:4" x14ac:dyDescent="0.3">
      <c r="C534" s="5"/>
      <c r="D534" s="5"/>
    </row>
    <row r="535" spans="3:4" x14ac:dyDescent="0.3">
      <c r="C535" s="5"/>
      <c r="D535" s="5"/>
    </row>
    <row r="536" spans="3:4" x14ac:dyDescent="0.3">
      <c r="C536" s="5"/>
      <c r="D536" s="5"/>
    </row>
    <row r="537" spans="3:4" x14ac:dyDescent="0.3">
      <c r="C537" s="5"/>
      <c r="D537" s="5"/>
    </row>
    <row r="538" spans="3:4" x14ac:dyDescent="0.3">
      <c r="C538" s="5"/>
      <c r="D538" s="5"/>
    </row>
    <row r="539" spans="3:4" x14ac:dyDescent="0.3">
      <c r="C539" s="5"/>
      <c r="D539" s="5"/>
    </row>
    <row r="540" spans="3:4" x14ac:dyDescent="0.3">
      <c r="C540" s="5"/>
      <c r="D540" s="5"/>
    </row>
    <row r="541" spans="3:4" x14ac:dyDescent="0.3">
      <c r="C541" s="5"/>
      <c r="D541" s="5"/>
    </row>
    <row r="542" spans="3:4" x14ac:dyDescent="0.3">
      <c r="C542" s="5"/>
      <c r="D542" s="5"/>
    </row>
    <row r="543" spans="3:4" x14ac:dyDescent="0.3">
      <c r="C543" s="5"/>
      <c r="D543" s="5"/>
    </row>
    <row r="544" spans="3:4" x14ac:dyDescent="0.3">
      <c r="C544" s="5"/>
      <c r="D544" s="5"/>
    </row>
    <row r="545" spans="3:4" x14ac:dyDescent="0.3">
      <c r="C545" s="5"/>
      <c r="D545" s="5"/>
    </row>
    <row r="546" spans="3:4" x14ac:dyDescent="0.3">
      <c r="C546" s="5"/>
      <c r="D546" s="5"/>
    </row>
    <row r="547" spans="3:4" x14ac:dyDescent="0.3">
      <c r="C547" s="5"/>
      <c r="D547" s="5"/>
    </row>
    <row r="548" spans="3:4" x14ac:dyDescent="0.3">
      <c r="C548" s="5"/>
      <c r="D548" s="5"/>
    </row>
    <row r="549" spans="3:4" x14ac:dyDescent="0.3">
      <c r="C549" s="5"/>
      <c r="D549" s="5"/>
    </row>
    <row r="550" spans="3:4" x14ac:dyDescent="0.3">
      <c r="C550" s="5"/>
      <c r="D550" s="5"/>
    </row>
    <row r="551" spans="3:4" x14ac:dyDescent="0.3">
      <c r="C551" s="5"/>
      <c r="D551" s="5"/>
    </row>
    <row r="552" spans="3:4" x14ac:dyDescent="0.3">
      <c r="C552" s="5"/>
      <c r="D552" s="5"/>
    </row>
    <row r="553" spans="3:4" x14ac:dyDescent="0.3">
      <c r="C553" s="5"/>
      <c r="D553" s="5"/>
    </row>
    <row r="554" spans="3:4" x14ac:dyDescent="0.3">
      <c r="C554" s="5"/>
      <c r="D554" s="5"/>
    </row>
    <row r="555" spans="3:4" x14ac:dyDescent="0.3">
      <c r="C555" s="5"/>
      <c r="D555" s="5"/>
    </row>
    <row r="556" spans="3:4" x14ac:dyDescent="0.3">
      <c r="C556" s="5"/>
      <c r="D556" s="5"/>
    </row>
    <row r="557" spans="3:4" x14ac:dyDescent="0.3">
      <c r="C557" s="5"/>
      <c r="D557" s="5"/>
    </row>
    <row r="558" spans="3:4" x14ac:dyDescent="0.3">
      <c r="C558" s="5"/>
      <c r="D558" s="5"/>
    </row>
    <row r="559" spans="3:4" x14ac:dyDescent="0.3">
      <c r="C559" s="5"/>
      <c r="D559" s="5"/>
    </row>
    <row r="560" spans="3:4" x14ac:dyDescent="0.3">
      <c r="C560" s="5"/>
      <c r="D560" s="5"/>
    </row>
    <row r="561" spans="3:4" x14ac:dyDescent="0.3">
      <c r="C561" s="5"/>
      <c r="D561" s="5"/>
    </row>
    <row r="562" spans="3:4" x14ac:dyDescent="0.3">
      <c r="C562" s="5"/>
      <c r="D562" s="5"/>
    </row>
    <row r="563" spans="3:4" x14ac:dyDescent="0.3">
      <c r="C563" s="5"/>
      <c r="D563" s="5"/>
    </row>
    <row r="564" spans="3:4" x14ac:dyDescent="0.3">
      <c r="C564" s="5"/>
      <c r="D564" s="5"/>
    </row>
    <row r="565" spans="3:4" x14ac:dyDescent="0.3">
      <c r="C565" s="5"/>
      <c r="D565" s="5"/>
    </row>
    <row r="566" spans="3:4" x14ac:dyDescent="0.3">
      <c r="C566" s="5"/>
      <c r="D566" s="5"/>
    </row>
    <row r="567" spans="3:4" x14ac:dyDescent="0.3">
      <c r="C567" s="5"/>
      <c r="D567" s="5"/>
    </row>
    <row r="568" spans="3:4" x14ac:dyDescent="0.3">
      <c r="C568" s="5"/>
      <c r="D568" s="5"/>
    </row>
    <row r="569" spans="3:4" x14ac:dyDescent="0.3">
      <c r="C569" s="5"/>
      <c r="D569" s="5"/>
    </row>
    <row r="570" spans="3:4" x14ac:dyDescent="0.3">
      <c r="C570" s="5"/>
      <c r="D570" s="5"/>
    </row>
    <row r="571" spans="3:4" x14ac:dyDescent="0.3">
      <c r="C571" s="5"/>
      <c r="D571" s="5"/>
    </row>
    <row r="572" spans="3:4" x14ac:dyDescent="0.3">
      <c r="C572" s="5"/>
      <c r="D572" s="5"/>
    </row>
    <row r="573" spans="3:4" x14ac:dyDescent="0.3">
      <c r="C573" s="5"/>
      <c r="D573" s="5"/>
    </row>
    <row r="574" spans="3:4" x14ac:dyDescent="0.3">
      <c r="C574" s="5"/>
      <c r="D574" s="5"/>
    </row>
    <row r="575" spans="3:4" x14ac:dyDescent="0.3">
      <c r="C575" s="5"/>
      <c r="D575" s="5"/>
    </row>
    <row r="576" spans="3:4" x14ac:dyDescent="0.3">
      <c r="C576" s="5"/>
      <c r="D576" s="5"/>
    </row>
    <row r="577" spans="3:4" x14ac:dyDescent="0.3">
      <c r="C577" s="5"/>
      <c r="D577" s="5"/>
    </row>
    <row r="578" spans="3:4" x14ac:dyDescent="0.3">
      <c r="C578" s="5"/>
      <c r="D578" s="5"/>
    </row>
    <row r="579" spans="3:4" x14ac:dyDescent="0.3">
      <c r="C579" s="5"/>
      <c r="D579" s="5"/>
    </row>
    <row r="580" spans="3:4" x14ac:dyDescent="0.3">
      <c r="C580" s="5"/>
      <c r="D580" s="5"/>
    </row>
    <row r="581" spans="3:4" x14ac:dyDescent="0.3">
      <c r="C581" s="5"/>
      <c r="D581" s="5"/>
    </row>
    <row r="582" spans="3:4" x14ac:dyDescent="0.3">
      <c r="C582" s="5"/>
      <c r="D582" s="5"/>
    </row>
    <row r="583" spans="3:4" x14ac:dyDescent="0.3">
      <c r="C583" s="5"/>
      <c r="D583" s="5"/>
    </row>
    <row r="584" spans="3:4" x14ac:dyDescent="0.3">
      <c r="C584" s="5"/>
      <c r="D584" s="5"/>
    </row>
    <row r="585" spans="3:4" x14ac:dyDescent="0.3">
      <c r="C585" s="5"/>
      <c r="D585" s="5"/>
    </row>
    <row r="586" spans="3:4" x14ac:dyDescent="0.3">
      <c r="C586" s="5"/>
      <c r="D586" s="5"/>
    </row>
    <row r="587" spans="3:4" x14ac:dyDescent="0.3">
      <c r="C587" s="5"/>
      <c r="D587" s="5"/>
    </row>
    <row r="588" spans="3:4" x14ac:dyDescent="0.3">
      <c r="C588" s="5"/>
      <c r="D588" s="5"/>
    </row>
    <row r="589" spans="3:4" x14ac:dyDescent="0.3">
      <c r="C589" s="5"/>
      <c r="D589" s="5"/>
    </row>
    <row r="590" spans="3:4" x14ac:dyDescent="0.3">
      <c r="C590" s="5"/>
      <c r="D590" s="5"/>
    </row>
    <row r="591" spans="3:4" x14ac:dyDescent="0.3">
      <c r="C591" s="5"/>
      <c r="D591" s="5"/>
    </row>
    <row r="592" spans="3:4" x14ac:dyDescent="0.3">
      <c r="C592" s="5"/>
      <c r="D592" s="5"/>
    </row>
    <row r="593" spans="3:4" x14ac:dyDescent="0.3">
      <c r="C593" s="5"/>
      <c r="D593" s="5"/>
    </row>
    <row r="594" spans="3:4" x14ac:dyDescent="0.3">
      <c r="C594" s="5"/>
      <c r="D594" s="5"/>
    </row>
    <row r="595" spans="3:4" x14ac:dyDescent="0.3">
      <c r="C595" s="5"/>
      <c r="D595" s="5"/>
    </row>
    <row r="596" spans="3:4" x14ac:dyDescent="0.3">
      <c r="C596" s="5"/>
      <c r="D596" s="5"/>
    </row>
    <row r="597" spans="3:4" x14ac:dyDescent="0.3">
      <c r="C597" s="5"/>
      <c r="D597" s="5"/>
    </row>
    <row r="598" spans="3:4" x14ac:dyDescent="0.3">
      <c r="C598" s="5"/>
      <c r="D598" s="5"/>
    </row>
    <row r="599" spans="3:4" x14ac:dyDescent="0.3">
      <c r="C599" s="5"/>
      <c r="D599" s="5"/>
    </row>
    <row r="600" spans="3:4" x14ac:dyDescent="0.3">
      <c r="C600" s="5"/>
      <c r="D600" s="5"/>
    </row>
    <row r="601" spans="3:4" x14ac:dyDescent="0.3">
      <c r="C601" s="5"/>
      <c r="D601" s="5"/>
    </row>
    <row r="602" spans="3:4" x14ac:dyDescent="0.3">
      <c r="C602" s="5"/>
      <c r="D602" s="5"/>
    </row>
    <row r="603" spans="3:4" x14ac:dyDescent="0.3">
      <c r="C603" s="5"/>
      <c r="D603" s="5"/>
    </row>
    <row r="604" spans="3:4" x14ac:dyDescent="0.3">
      <c r="C604" s="5"/>
      <c r="D604" s="5"/>
    </row>
    <row r="605" spans="3:4" x14ac:dyDescent="0.3">
      <c r="C605" s="5"/>
      <c r="D605" s="5"/>
    </row>
    <row r="606" spans="3:4" x14ac:dyDescent="0.3">
      <c r="C606" s="5"/>
      <c r="D606" s="5"/>
    </row>
    <row r="607" spans="3:4" x14ac:dyDescent="0.3">
      <c r="C607" s="5"/>
      <c r="D607" s="5"/>
    </row>
    <row r="608" spans="3:4" x14ac:dyDescent="0.3">
      <c r="C608" s="5"/>
      <c r="D608" s="5"/>
    </row>
    <row r="609" spans="3:4" x14ac:dyDescent="0.3">
      <c r="C609" s="5"/>
      <c r="D609" s="5"/>
    </row>
    <row r="610" spans="3:4" x14ac:dyDescent="0.3">
      <c r="C610" s="5"/>
      <c r="D610" s="5"/>
    </row>
    <row r="611" spans="3:4" x14ac:dyDescent="0.3">
      <c r="C611" s="5"/>
      <c r="D611" s="5"/>
    </row>
    <row r="612" spans="3:4" x14ac:dyDescent="0.3">
      <c r="C612" s="5"/>
      <c r="D612" s="5"/>
    </row>
    <row r="613" spans="3:4" x14ac:dyDescent="0.3">
      <c r="C613" s="5"/>
      <c r="D613" s="5"/>
    </row>
    <row r="614" spans="3:4" x14ac:dyDescent="0.3">
      <c r="C614" s="5"/>
      <c r="D614" s="5"/>
    </row>
    <row r="615" spans="3:4" x14ac:dyDescent="0.3">
      <c r="C615" s="5"/>
      <c r="D615" s="5"/>
    </row>
    <row r="616" spans="3:4" x14ac:dyDescent="0.3">
      <c r="C616" s="5"/>
      <c r="D616" s="5"/>
    </row>
    <row r="617" spans="3:4" x14ac:dyDescent="0.3">
      <c r="C617" s="5"/>
      <c r="D617" s="5"/>
    </row>
    <row r="618" spans="3:4" x14ac:dyDescent="0.3">
      <c r="C618" s="5"/>
      <c r="D618" s="5"/>
    </row>
    <row r="619" spans="3:4" x14ac:dyDescent="0.3">
      <c r="C619" s="5"/>
      <c r="D619" s="5"/>
    </row>
    <row r="620" spans="3:4" x14ac:dyDescent="0.3">
      <c r="C620" s="5"/>
      <c r="D620" s="5"/>
    </row>
    <row r="621" spans="3:4" x14ac:dyDescent="0.3">
      <c r="C621" s="5"/>
      <c r="D621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D5"/>
  <sheetViews>
    <sheetView workbookViewId="0">
      <selection activeCell="B17" sqref="B17"/>
    </sheetView>
  </sheetViews>
  <sheetFormatPr defaultRowHeight="14.4" x14ac:dyDescent="0.3"/>
  <cols>
    <col min="3" max="3" width="74.77734375" bestFit="1" customWidth="1"/>
  </cols>
  <sheetData>
    <row r="2" spans="2:4" x14ac:dyDescent="0.3">
      <c r="B2" t="s">
        <v>5</v>
      </c>
      <c r="C2" t="s">
        <v>66</v>
      </c>
      <c r="D2">
        <f>((16/20*50%)+(4/20*100%))^-1/20</f>
        <v>8.3333333333333329E-2</v>
      </c>
    </row>
    <row r="3" spans="2:4" x14ac:dyDescent="0.3">
      <c r="B3" t="s">
        <v>7</v>
      </c>
      <c r="C3" t="s">
        <v>67</v>
      </c>
      <c r="D3">
        <f>((6/16*50%)+(10/16*100%))^-1/16</f>
        <v>7.6923076923076927E-2</v>
      </c>
    </row>
    <row r="4" spans="2:4" x14ac:dyDescent="0.3">
      <c r="B4" t="s">
        <v>8</v>
      </c>
      <c r="C4" t="s">
        <v>68</v>
      </c>
      <c r="D4">
        <f>(16/16*50%)^-1/16</f>
        <v>0.125</v>
      </c>
    </row>
    <row r="5" spans="2:4" x14ac:dyDescent="0.3">
      <c r="B5" t="s">
        <v>5</v>
      </c>
      <c r="C5" t="s">
        <v>69</v>
      </c>
      <c r="D5">
        <f>((8/20*50%)+(12/20*100%))^-1/20</f>
        <v>6.25E-2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B6"/>
  <sheetViews>
    <sheetView workbookViewId="0">
      <selection activeCell="B17" sqref="B17"/>
    </sheetView>
  </sheetViews>
  <sheetFormatPr defaultRowHeight="14.4" x14ac:dyDescent="0.3"/>
  <sheetData>
    <row r="2" spans="2:2" x14ac:dyDescent="0.3">
      <c r="B2" t="s">
        <v>70</v>
      </c>
    </row>
    <row r="3" spans="2:2" x14ac:dyDescent="0.3">
      <c r="B3" s="3" t="s">
        <v>71</v>
      </c>
    </row>
    <row r="4" spans="2:2" x14ac:dyDescent="0.3">
      <c r="B4" s="3" t="s">
        <v>72</v>
      </c>
    </row>
    <row r="5" spans="2:2" x14ac:dyDescent="0.3">
      <c r="B5" s="3" t="s">
        <v>73</v>
      </c>
    </row>
    <row r="6" spans="2:2" x14ac:dyDescent="0.3">
      <c r="B6" s="3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68"/>
  <sheetViews>
    <sheetView zoomScale="90" zoomScaleNormal="90" workbookViewId="0">
      <selection activeCell="B17" sqref="B17"/>
    </sheetView>
  </sheetViews>
  <sheetFormatPr defaultRowHeight="14.4" x14ac:dyDescent="0.3"/>
  <cols>
    <col min="1" max="1" width="62.44140625" customWidth="1"/>
    <col min="2" max="17" width="11.21875" customWidth="1"/>
    <col min="18" max="18" width="12.5546875" bestFit="1" customWidth="1"/>
  </cols>
  <sheetData>
    <row r="1" spans="1:13" x14ac:dyDescent="0.3">
      <c r="B1" t="s">
        <v>0</v>
      </c>
      <c r="C1" t="s">
        <v>75</v>
      </c>
      <c r="E1" s="104" t="s">
        <v>26</v>
      </c>
      <c r="F1" s="104"/>
      <c r="H1" s="104" t="s">
        <v>27</v>
      </c>
      <c r="I1" s="104"/>
      <c r="K1" s="104" t="s">
        <v>28</v>
      </c>
      <c r="L1" s="104"/>
    </row>
    <row r="2" spans="1:13" x14ac:dyDescent="0.3">
      <c r="E2" s="55"/>
      <c r="F2" s="55"/>
      <c r="H2" s="55"/>
      <c r="I2" s="55"/>
      <c r="K2" s="55"/>
      <c r="L2" s="55"/>
    </row>
    <row r="3" spans="1:13" x14ac:dyDescent="0.3">
      <c r="A3" s="18" t="s">
        <v>29</v>
      </c>
      <c r="B3" s="18"/>
      <c r="C3" s="18"/>
      <c r="D3" s="18"/>
      <c r="E3" s="104" t="s">
        <v>30</v>
      </c>
      <c r="F3" s="104"/>
      <c r="H3" s="104" t="s">
        <v>30</v>
      </c>
      <c r="I3" s="104"/>
      <c r="K3" s="104" t="s">
        <v>30</v>
      </c>
      <c r="L3" s="104"/>
    </row>
    <row r="4" spans="1:13" s="28" customFormat="1" x14ac:dyDescent="0.3">
      <c r="A4" s="28" t="s">
        <v>31</v>
      </c>
      <c r="E4" s="28">
        <v>4</v>
      </c>
      <c r="F4" s="28">
        <v>7</v>
      </c>
      <c r="G4" s="28" t="s">
        <v>32</v>
      </c>
      <c r="H4" s="28">
        <v>3</v>
      </c>
      <c r="I4" s="28">
        <v>5</v>
      </c>
      <c r="J4" s="28" t="s">
        <v>32</v>
      </c>
      <c r="K4" s="28">
        <v>1</v>
      </c>
      <c r="L4" s="28">
        <v>3</v>
      </c>
      <c r="M4" s="28" t="s">
        <v>32</v>
      </c>
    </row>
    <row r="5" spans="1:13" ht="71.25" customHeight="1" x14ac:dyDescent="0.3">
      <c r="A5" s="27" t="s">
        <v>33</v>
      </c>
      <c r="B5" s="27"/>
      <c r="C5" s="27"/>
      <c r="D5" s="27"/>
    </row>
    <row r="6" spans="1:13" x14ac:dyDescent="0.3">
      <c r="A6" s="26" t="s">
        <v>76</v>
      </c>
      <c r="B6" s="27"/>
      <c r="C6" s="26">
        <v>3</v>
      </c>
      <c r="D6" t="s">
        <v>34</v>
      </c>
    </row>
    <row r="7" spans="1:13" x14ac:dyDescent="0.3">
      <c r="A7" s="26" t="s">
        <v>77</v>
      </c>
      <c r="C7" s="26">
        <v>3</v>
      </c>
      <c r="D7" t="s">
        <v>34</v>
      </c>
    </row>
    <row r="8" spans="1:13" x14ac:dyDescent="0.3">
      <c r="A8" s="26" t="s">
        <v>78</v>
      </c>
      <c r="C8" s="26">
        <v>2.5</v>
      </c>
      <c r="D8" t="s">
        <v>34</v>
      </c>
      <c r="F8" t="s">
        <v>35</v>
      </c>
    </row>
    <row r="9" spans="1:13" x14ac:dyDescent="0.3">
      <c r="A9" s="16" t="s">
        <v>36</v>
      </c>
      <c r="C9">
        <v>12.5</v>
      </c>
      <c r="D9" t="s">
        <v>34</v>
      </c>
    </row>
    <row r="10" spans="1:13" x14ac:dyDescent="0.3">
      <c r="A10" s="16" t="s">
        <v>37</v>
      </c>
      <c r="C10" s="25">
        <v>2.61</v>
      </c>
      <c r="D10" t="s">
        <v>34</v>
      </c>
    </row>
    <row r="12" spans="1:13" x14ac:dyDescent="0.3">
      <c r="A12" t="s">
        <v>22</v>
      </c>
      <c r="C12">
        <v>3</v>
      </c>
      <c r="D12" t="s">
        <v>38</v>
      </c>
      <c r="F12" t="s">
        <v>39</v>
      </c>
    </row>
    <row r="14" spans="1:13" x14ac:dyDescent="0.3">
      <c r="A14" s="18" t="s">
        <v>40</v>
      </c>
    </row>
    <row r="15" spans="1:13" x14ac:dyDescent="0.3">
      <c r="A15" t="s">
        <v>79</v>
      </c>
      <c r="B15" s="13">
        <v>100000</v>
      </c>
      <c r="C15" s="13">
        <f>+B15/3</f>
        <v>33333.333333333336</v>
      </c>
      <c r="D15" s="13"/>
    </row>
    <row r="17" spans="1:4" ht="39" customHeight="1" x14ac:dyDescent="0.3">
      <c r="A17" s="24" t="s">
        <v>80</v>
      </c>
      <c r="B17" s="18"/>
      <c r="C17" s="23"/>
      <c r="D17" s="23"/>
    </row>
    <row r="18" spans="1:4" s="21" customFormat="1" x14ac:dyDescent="0.3">
      <c r="A18" s="18" t="s">
        <v>42</v>
      </c>
      <c r="B18" s="19">
        <f>SUM(B20:B25)</f>
        <v>900000</v>
      </c>
      <c r="C18" s="19">
        <f>SUM(C20:C25)</f>
        <v>513333.33333333337</v>
      </c>
      <c r="D18" s="19"/>
    </row>
    <row r="19" spans="1:4" x14ac:dyDescent="0.3">
      <c r="A19" s="21"/>
      <c r="B19" s="21"/>
      <c r="C19" s="22"/>
      <c r="D19" s="22"/>
    </row>
    <row r="20" spans="1:4" x14ac:dyDescent="0.3">
      <c r="A20" t="s">
        <v>43</v>
      </c>
      <c r="B20" s="13">
        <v>150000</v>
      </c>
      <c r="C20" s="13">
        <f>+B20/3</f>
        <v>50000</v>
      </c>
      <c r="D20" s="13"/>
    </row>
    <row r="21" spans="1:4" x14ac:dyDescent="0.3">
      <c r="A21" s="16" t="s">
        <v>44</v>
      </c>
      <c r="B21" s="15">
        <v>120000</v>
      </c>
      <c r="C21" s="15">
        <f>+B21</f>
        <v>120000</v>
      </c>
      <c r="D21" s="13"/>
    </row>
    <row r="22" spans="1:4" x14ac:dyDescent="0.3">
      <c r="A22" t="s">
        <v>45</v>
      </c>
      <c r="B22" s="13">
        <v>100000</v>
      </c>
      <c r="C22" s="13">
        <f>+B22/3</f>
        <v>33333.333333333336</v>
      </c>
      <c r="D22" s="13"/>
    </row>
    <row r="23" spans="1:4" x14ac:dyDescent="0.3">
      <c r="A23" t="s">
        <v>46</v>
      </c>
      <c r="B23" s="13">
        <v>30000</v>
      </c>
      <c r="C23" s="13">
        <f>+B23/3</f>
        <v>10000</v>
      </c>
      <c r="D23" s="13"/>
    </row>
    <row r="24" spans="1:4" x14ac:dyDescent="0.3">
      <c r="A24" t="s">
        <v>47</v>
      </c>
      <c r="B24" s="13">
        <v>300000</v>
      </c>
      <c r="C24" s="13">
        <v>100000</v>
      </c>
      <c r="D24" s="13" t="s">
        <v>81</v>
      </c>
    </row>
    <row r="25" spans="1:4" x14ac:dyDescent="0.3">
      <c r="A25" s="16" t="s">
        <v>48</v>
      </c>
      <c r="B25" s="15">
        <v>200000</v>
      </c>
      <c r="C25" s="15">
        <f>+B25</f>
        <v>200000</v>
      </c>
      <c r="D25" s="13"/>
    </row>
    <row r="26" spans="1:4" x14ac:dyDescent="0.3">
      <c r="C26" s="13"/>
      <c r="D26" s="13"/>
    </row>
    <row r="27" spans="1:4" s="19" customFormat="1" x14ac:dyDescent="0.3">
      <c r="A27" s="19" t="s">
        <v>49</v>
      </c>
      <c r="B27" s="19">
        <f>+B29+B33</f>
        <v>790000</v>
      </c>
      <c r="C27" s="19">
        <f>+C29+C33</f>
        <v>463333.33333333337</v>
      </c>
    </row>
    <row r="28" spans="1:4" s="19" customFormat="1" x14ac:dyDescent="0.3"/>
    <row r="29" spans="1:4" x14ac:dyDescent="0.3">
      <c r="A29" s="21" t="s">
        <v>82</v>
      </c>
      <c r="B29" s="20">
        <f>SUM(B30:B32)</f>
        <v>230000</v>
      </c>
      <c r="C29" s="20">
        <f>SUM(C30:C32)</f>
        <v>143333.33333333334</v>
      </c>
      <c r="D29" s="20"/>
    </row>
    <row r="30" spans="1:4" x14ac:dyDescent="0.3">
      <c r="A30" t="s">
        <v>50</v>
      </c>
      <c r="B30" s="13">
        <v>30000</v>
      </c>
      <c r="C30" s="13">
        <f>+B30/3</f>
        <v>10000</v>
      </c>
      <c r="D30" s="13"/>
    </row>
    <row r="31" spans="1:4" x14ac:dyDescent="0.3">
      <c r="A31" t="s">
        <v>83</v>
      </c>
      <c r="B31" s="13">
        <v>100000</v>
      </c>
      <c r="C31" s="13">
        <f>+B31/3</f>
        <v>33333.333333333336</v>
      </c>
      <c r="D31" s="13"/>
    </row>
    <row r="32" spans="1:4" x14ac:dyDescent="0.3">
      <c r="A32" s="16" t="s">
        <v>51</v>
      </c>
      <c r="B32" s="15">
        <v>100000</v>
      </c>
      <c r="C32" s="15">
        <f>+B32</f>
        <v>100000</v>
      </c>
      <c r="D32" s="13"/>
    </row>
    <row r="33" spans="1:18" x14ac:dyDescent="0.3">
      <c r="A33" s="21" t="s">
        <v>84</v>
      </c>
      <c r="B33" s="20">
        <f>SUM(B34:B36)</f>
        <v>560000</v>
      </c>
      <c r="C33" s="20">
        <f>SUM(C34:C36)</f>
        <v>320000</v>
      </c>
      <c r="D33" s="20"/>
    </row>
    <row r="34" spans="1:18" x14ac:dyDescent="0.3">
      <c r="A34" t="s">
        <v>52</v>
      </c>
      <c r="B34" s="13">
        <v>60000</v>
      </c>
      <c r="C34" s="13">
        <f>+B34/3</f>
        <v>20000</v>
      </c>
      <c r="D34" s="13"/>
    </row>
    <row r="35" spans="1:18" x14ac:dyDescent="0.3">
      <c r="A35" t="s">
        <v>53</v>
      </c>
      <c r="B35" s="13">
        <v>300000</v>
      </c>
      <c r="C35" s="13">
        <f>+B35/3</f>
        <v>100000</v>
      </c>
      <c r="D35" s="13"/>
    </row>
    <row r="36" spans="1:18" x14ac:dyDescent="0.3">
      <c r="A36" s="16" t="s">
        <v>54</v>
      </c>
      <c r="B36" s="15">
        <v>200000</v>
      </c>
      <c r="C36" s="15">
        <f>+B36</f>
        <v>200000</v>
      </c>
      <c r="D36" s="13"/>
    </row>
    <row r="37" spans="1:18" x14ac:dyDescent="0.3">
      <c r="B37" s="13"/>
      <c r="C37" s="13"/>
      <c r="D37" s="13"/>
    </row>
    <row r="38" spans="1:18" x14ac:dyDescent="0.3">
      <c r="A38" s="18" t="s">
        <v>20</v>
      </c>
      <c r="B38" s="19">
        <f>SUM(B40)</f>
        <v>150000</v>
      </c>
      <c r="C38" s="19">
        <f>SUM(C40)</f>
        <v>150000</v>
      </c>
      <c r="D38" s="19"/>
    </row>
    <row r="39" spans="1:18" x14ac:dyDescent="0.3">
      <c r="A39" s="18"/>
      <c r="B39" s="2"/>
      <c r="C39" s="17"/>
      <c r="D39" s="17"/>
    </row>
    <row r="40" spans="1:18" x14ac:dyDescent="0.3">
      <c r="A40" s="16" t="s">
        <v>55</v>
      </c>
      <c r="B40" s="15">
        <v>150000</v>
      </c>
      <c r="C40" s="15">
        <f>+B40</f>
        <v>150000</v>
      </c>
      <c r="D40" s="13"/>
    </row>
    <row r="41" spans="1:18" x14ac:dyDescent="0.3">
      <c r="C41" s="13"/>
      <c r="D41" s="13"/>
    </row>
    <row r="42" spans="1:18" x14ac:dyDescent="0.3">
      <c r="C42" s="14"/>
      <c r="D42" s="14"/>
    </row>
    <row r="43" spans="1:18" x14ac:dyDescent="0.3">
      <c r="C43" s="13"/>
      <c r="D43" s="13"/>
    </row>
    <row r="44" spans="1:18" x14ac:dyDescent="0.3">
      <c r="C44" s="13"/>
      <c r="D44" s="13"/>
    </row>
    <row r="45" spans="1:18" x14ac:dyDescent="0.3">
      <c r="C45" s="13"/>
      <c r="D45" s="13"/>
    </row>
    <row r="46" spans="1:18" x14ac:dyDescent="0.3">
      <c r="A46" s="12"/>
      <c r="B46" s="12">
        <v>2021</v>
      </c>
      <c r="C46" s="12">
        <v>2022</v>
      </c>
      <c r="D46" s="12">
        <v>2023</v>
      </c>
      <c r="E46" s="12">
        <v>2024</v>
      </c>
      <c r="F46" s="12">
        <v>2025</v>
      </c>
      <c r="G46" s="12">
        <v>2026</v>
      </c>
      <c r="H46" s="12">
        <v>2027</v>
      </c>
      <c r="I46" s="12">
        <v>2028</v>
      </c>
      <c r="J46" s="12">
        <v>2029</v>
      </c>
      <c r="K46" s="12">
        <v>2030</v>
      </c>
      <c r="L46" s="12">
        <v>2031</v>
      </c>
      <c r="M46" s="12">
        <v>2032</v>
      </c>
      <c r="N46" s="12">
        <v>2033</v>
      </c>
      <c r="O46" s="12">
        <v>2034</v>
      </c>
      <c r="P46" s="12">
        <v>2035</v>
      </c>
      <c r="Q46" s="12">
        <v>2036</v>
      </c>
      <c r="R46" s="11" t="s">
        <v>41</v>
      </c>
    </row>
    <row r="48" spans="1:18" x14ac:dyDescent="0.3">
      <c r="A48" s="10" t="s">
        <v>56</v>
      </c>
      <c r="B48" s="9">
        <f t="shared" ref="B48:Q48" si="0">+SUM(B49:B57)</f>
        <v>1102760.4166666667</v>
      </c>
      <c r="C48" s="9">
        <f t="shared" si="0"/>
        <v>739583.33333333337</v>
      </c>
      <c r="D48" s="9">
        <f t="shared" si="0"/>
        <v>1039739.5833333334</v>
      </c>
      <c r="E48" s="9">
        <f t="shared" si="0"/>
        <v>1339895.8333333335</v>
      </c>
      <c r="F48" s="9">
        <f t="shared" si="0"/>
        <v>1640052.0833333335</v>
      </c>
      <c r="G48" s="9">
        <f t="shared" si="0"/>
        <v>1940208.3333333335</v>
      </c>
      <c r="H48" s="9">
        <f t="shared" si="0"/>
        <v>2240364.5833333335</v>
      </c>
      <c r="I48" s="9">
        <f t="shared" si="0"/>
        <v>2540520.8333333335</v>
      </c>
      <c r="J48" s="9">
        <f t="shared" si="0"/>
        <v>2840677.083333333</v>
      </c>
      <c r="K48" s="9">
        <f t="shared" si="0"/>
        <v>3140833.333333333</v>
      </c>
      <c r="L48" s="9">
        <f t="shared" si="0"/>
        <v>3440989.583333333</v>
      </c>
      <c r="M48" s="9">
        <f t="shared" si="0"/>
        <v>3741145.833333333</v>
      </c>
      <c r="N48" s="9">
        <f t="shared" si="0"/>
        <v>4041302.083333333</v>
      </c>
      <c r="O48" s="9">
        <f t="shared" si="0"/>
        <v>4341458.333333333</v>
      </c>
      <c r="P48" s="9">
        <f t="shared" si="0"/>
        <v>4641614.583333333</v>
      </c>
      <c r="Q48" s="9">
        <f t="shared" si="0"/>
        <v>4941770.833333333</v>
      </c>
      <c r="R48" s="9">
        <f>+SUM(B48:Q48)</f>
        <v>43712916.666666672</v>
      </c>
    </row>
    <row r="49" spans="1:18" x14ac:dyDescent="0.3">
      <c r="A49" s="3" t="s">
        <v>57</v>
      </c>
      <c r="R49" s="7"/>
    </row>
    <row r="50" spans="1:18" x14ac:dyDescent="0.3">
      <c r="A50" s="8" t="s">
        <v>58</v>
      </c>
      <c r="B50" s="7">
        <f>+C18</f>
        <v>513333.33333333337</v>
      </c>
      <c r="R50" s="7">
        <f>+SUM(B50:Q50)</f>
        <v>513333.33333333337</v>
      </c>
    </row>
    <row r="51" spans="1:18" x14ac:dyDescent="0.3">
      <c r="A51" s="8" t="s">
        <v>20</v>
      </c>
      <c r="B51" s="7">
        <f>+C40</f>
        <v>150000</v>
      </c>
      <c r="R51" s="7">
        <f>+SUM(B51:Q51)</f>
        <v>150000</v>
      </c>
    </row>
    <row r="52" spans="1:18" x14ac:dyDescent="0.3">
      <c r="A52" s="3" t="s">
        <v>59</v>
      </c>
      <c r="R52" s="7"/>
    </row>
    <row r="53" spans="1:18" x14ac:dyDescent="0.3">
      <c r="A53" s="8" t="s">
        <v>60</v>
      </c>
      <c r="B53" s="7">
        <f>+C15</f>
        <v>33333.333333333336</v>
      </c>
      <c r="C53" s="7">
        <f t="shared" ref="C53:Q53" si="1">+B53</f>
        <v>33333.333333333336</v>
      </c>
      <c r="D53" s="7">
        <f t="shared" si="1"/>
        <v>33333.333333333336</v>
      </c>
      <c r="E53" s="7">
        <f t="shared" si="1"/>
        <v>33333.333333333336</v>
      </c>
      <c r="F53" s="7">
        <f t="shared" si="1"/>
        <v>33333.333333333336</v>
      </c>
      <c r="G53" s="7">
        <f t="shared" si="1"/>
        <v>33333.333333333336</v>
      </c>
      <c r="H53" s="7">
        <f t="shared" si="1"/>
        <v>33333.333333333336</v>
      </c>
      <c r="I53" s="7">
        <f t="shared" si="1"/>
        <v>33333.333333333336</v>
      </c>
      <c r="J53" s="7">
        <f t="shared" si="1"/>
        <v>33333.333333333336</v>
      </c>
      <c r="K53" s="7">
        <f t="shared" si="1"/>
        <v>33333.333333333336</v>
      </c>
      <c r="L53" s="7">
        <f t="shared" si="1"/>
        <v>33333.333333333336</v>
      </c>
      <c r="M53" s="7">
        <f t="shared" si="1"/>
        <v>33333.333333333336</v>
      </c>
      <c r="N53" s="7">
        <f t="shared" si="1"/>
        <v>33333.333333333336</v>
      </c>
      <c r="O53" s="7">
        <f t="shared" si="1"/>
        <v>33333.333333333336</v>
      </c>
      <c r="P53" s="7">
        <f t="shared" si="1"/>
        <v>33333.333333333336</v>
      </c>
      <c r="Q53" s="7">
        <f t="shared" si="1"/>
        <v>33333.333333333336</v>
      </c>
      <c r="R53" s="7">
        <f>+SUM(B53:Q53)</f>
        <v>533333.33333333326</v>
      </c>
    </row>
    <row r="54" spans="1:18" x14ac:dyDescent="0.3">
      <c r="A54" s="8" t="s">
        <v>61</v>
      </c>
      <c r="B54" s="7">
        <v>105937.5</v>
      </c>
      <c r="C54" s="7">
        <v>105937.5</v>
      </c>
      <c r="D54" s="7">
        <v>105937.5</v>
      </c>
      <c r="E54" s="7">
        <v>105937.5</v>
      </c>
      <c r="F54" s="7">
        <v>105937.5</v>
      </c>
      <c r="G54" s="7">
        <v>105937.5</v>
      </c>
      <c r="H54" s="7">
        <v>105937.5</v>
      </c>
      <c r="I54" s="7">
        <v>105937.5</v>
      </c>
      <c r="J54" s="7">
        <v>105937.5</v>
      </c>
      <c r="K54" s="7">
        <v>105937.5</v>
      </c>
      <c r="L54" s="7">
        <v>105937.5</v>
      </c>
      <c r="M54" s="7">
        <v>105937.5</v>
      </c>
      <c r="N54" s="7">
        <v>105937.5</v>
      </c>
      <c r="O54" s="7">
        <v>105937.5</v>
      </c>
      <c r="P54" s="7">
        <v>105937.5</v>
      </c>
      <c r="Q54" s="7">
        <v>105937.5</v>
      </c>
      <c r="R54" s="7">
        <f>+SUM(B54:Q54)</f>
        <v>1695000</v>
      </c>
    </row>
    <row r="55" spans="1:18" x14ac:dyDescent="0.3">
      <c r="A55" s="8" t="s">
        <v>62</v>
      </c>
      <c r="B55" s="7">
        <v>105937.5</v>
      </c>
      <c r="C55" s="7">
        <v>211875</v>
      </c>
      <c r="D55" s="7">
        <v>317812.5</v>
      </c>
      <c r="E55" s="7">
        <v>423750</v>
      </c>
      <c r="F55" s="7">
        <v>529687.5</v>
      </c>
      <c r="G55" s="7">
        <v>635625</v>
      </c>
      <c r="H55" s="7">
        <v>741562.5</v>
      </c>
      <c r="I55" s="7">
        <v>847500</v>
      </c>
      <c r="J55" s="7">
        <v>953437.5</v>
      </c>
      <c r="K55" s="7">
        <v>1059375</v>
      </c>
      <c r="L55" s="7">
        <v>1165312.5</v>
      </c>
      <c r="M55" s="7">
        <v>1271250</v>
      </c>
      <c r="N55" s="7">
        <v>1377187.5</v>
      </c>
      <c r="O55" s="7">
        <v>1483125</v>
      </c>
      <c r="P55" s="7">
        <v>1589062.5</v>
      </c>
      <c r="Q55" s="7">
        <v>1695000</v>
      </c>
      <c r="R55" s="7">
        <f>+SUM(B55:Q55)</f>
        <v>14407500</v>
      </c>
    </row>
    <row r="56" spans="1:18" x14ac:dyDescent="0.3">
      <c r="A56" s="8" t="s">
        <v>24</v>
      </c>
      <c r="B56" s="7">
        <v>88281.25</v>
      </c>
      <c r="C56" s="7">
        <v>176562.5</v>
      </c>
      <c r="D56" s="7">
        <v>264843.75</v>
      </c>
      <c r="E56" s="7">
        <v>353125</v>
      </c>
      <c r="F56" s="7">
        <v>441406.25</v>
      </c>
      <c r="G56" s="7">
        <v>529687.5</v>
      </c>
      <c r="H56" s="7">
        <v>617968.75</v>
      </c>
      <c r="I56" s="7">
        <v>706250</v>
      </c>
      <c r="J56" s="7">
        <v>794531.25</v>
      </c>
      <c r="K56" s="7">
        <v>882812.5</v>
      </c>
      <c r="L56" s="7">
        <v>971093.75</v>
      </c>
      <c r="M56" s="7">
        <v>1059375</v>
      </c>
      <c r="N56" s="7">
        <v>1147656.25</v>
      </c>
      <c r="O56" s="7">
        <v>1235937.5</v>
      </c>
      <c r="P56" s="7">
        <v>1324218.75</v>
      </c>
      <c r="Q56" s="7">
        <v>1412500</v>
      </c>
      <c r="R56" s="7">
        <f>+SUM(B56:Q56)</f>
        <v>12006250</v>
      </c>
    </row>
    <row r="57" spans="1:18" x14ac:dyDescent="0.3">
      <c r="A57" s="8" t="s">
        <v>22</v>
      </c>
      <c r="B57" s="7">
        <v>105937.5</v>
      </c>
      <c r="C57" s="7">
        <v>211875</v>
      </c>
      <c r="D57" s="7">
        <v>317812.5</v>
      </c>
      <c r="E57" s="7">
        <v>423750</v>
      </c>
      <c r="F57" s="7">
        <v>529687.5</v>
      </c>
      <c r="G57" s="7">
        <v>635625</v>
      </c>
      <c r="H57" s="7">
        <v>741562.5</v>
      </c>
      <c r="I57" s="7">
        <v>847500</v>
      </c>
      <c r="J57" s="7">
        <v>953437.5</v>
      </c>
      <c r="K57" s="7">
        <v>1059375</v>
      </c>
      <c r="L57" s="7">
        <v>1165312.5</v>
      </c>
      <c r="M57" s="7">
        <v>1271250</v>
      </c>
      <c r="N57" s="7">
        <v>1377187.5</v>
      </c>
      <c r="O57" s="7">
        <v>1483125</v>
      </c>
      <c r="P57" s="7">
        <v>1589062.5</v>
      </c>
      <c r="Q57" s="7">
        <v>1695000</v>
      </c>
      <c r="R57" s="7">
        <f>+SUM(B57:Q57)</f>
        <v>14407500</v>
      </c>
    </row>
    <row r="58" spans="1:18" x14ac:dyDescent="0.3">
      <c r="R58" s="7"/>
    </row>
    <row r="59" spans="1:18" x14ac:dyDescent="0.3">
      <c r="A59" s="10" t="s">
        <v>63</v>
      </c>
      <c r="B59" s="9">
        <f t="shared" ref="B59:Q59" si="2">+SUM(B60:B68)</f>
        <v>964000.00000000012</v>
      </c>
      <c r="C59" s="9">
        <f t="shared" si="2"/>
        <v>601333.33333333326</v>
      </c>
      <c r="D59" s="9">
        <f t="shared" si="2"/>
        <v>1122833.3333333335</v>
      </c>
      <c r="E59" s="9">
        <f t="shared" si="2"/>
        <v>1964333.3333333335</v>
      </c>
      <c r="F59" s="9">
        <f t="shared" si="2"/>
        <v>2429963.333333333</v>
      </c>
      <c r="G59" s="9">
        <f t="shared" si="2"/>
        <v>2895593.333333333</v>
      </c>
      <c r="H59" s="9">
        <f t="shared" si="2"/>
        <v>3361223.333333333</v>
      </c>
      <c r="I59" s="9">
        <f t="shared" si="2"/>
        <v>3361223.333333333</v>
      </c>
      <c r="J59" s="9">
        <f t="shared" si="2"/>
        <v>3361223.333333333</v>
      </c>
      <c r="K59" s="9">
        <f t="shared" si="2"/>
        <v>3361223.333333333</v>
      </c>
      <c r="L59" s="9">
        <f t="shared" si="2"/>
        <v>3361223.333333333</v>
      </c>
      <c r="M59" s="9">
        <f t="shared" si="2"/>
        <v>3361223.333333333</v>
      </c>
      <c r="N59" s="9">
        <f t="shared" si="2"/>
        <v>3361223.333333333</v>
      </c>
      <c r="O59" s="9">
        <f t="shared" si="2"/>
        <v>3361223.333333333</v>
      </c>
      <c r="P59" s="9">
        <f t="shared" si="2"/>
        <v>3361223.333333333</v>
      </c>
      <c r="Q59" s="9">
        <f t="shared" si="2"/>
        <v>3361223.333333333</v>
      </c>
      <c r="R59" s="9">
        <f>+SUM(B59:Q59)</f>
        <v>43590290</v>
      </c>
    </row>
    <row r="60" spans="1:18" x14ac:dyDescent="0.3">
      <c r="A60" s="3" t="s">
        <v>57</v>
      </c>
      <c r="R60" s="7"/>
    </row>
    <row r="61" spans="1:18" x14ac:dyDescent="0.3">
      <c r="A61" s="8" t="s">
        <v>58</v>
      </c>
      <c r="B61" s="7">
        <f>+C18+C29</f>
        <v>656666.66666666674</v>
      </c>
      <c r="C61" s="7">
        <f>+C33</f>
        <v>320000</v>
      </c>
      <c r="R61" s="7">
        <f>+SUM(B61:Q61)</f>
        <v>976666.66666666674</v>
      </c>
    </row>
    <row r="62" spans="1:18" x14ac:dyDescent="0.3">
      <c r="A62" s="8" t="s">
        <v>20</v>
      </c>
      <c r="B62" s="7">
        <f>+C38</f>
        <v>150000</v>
      </c>
      <c r="R62" s="7">
        <f>+SUM(B62:Q62)</f>
        <v>150000</v>
      </c>
    </row>
    <row r="63" spans="1:18" x14ac:dyDescent="0.3">
      <c r="A63" s="3" t="s">
        <v>59</v>
      </c>
      <c r="R63" s="7"/>
    </row>
    <row r="64" spans="1:18" x14ac:dyDescent="0.3">
      <c r="A64" s="8" t="s">
        <v>60</v>
      </c>
      <c r="B64" s="7">
        <f>+C15</f>
        <v>33333.333333333336</v>
      </c>
      <c r="C64" s="7">
        <f t="shared" ref="C64:Q64" si="3">+B64</f>
        <v>33333.333333333336</v>
      </c>
      <c r="D64" s="7">
        <f t="shared" si="3"/>
        <v>33333.333333333336</v>
      </c>
      <c r="E64" s="7">
        <f t="shared" si="3"/>
        <v>33333.333333333336</v>
      </c>
      <c r="F64" s="7">
        <f t="shared" si="3"/>
        <v>33333.333333333336</v>
      </c>
      <c r="G64" s="7">
        <f t="shared" si="3"/>
        <v>33333.333333333336</v>
      </c>
      <c r="H64" s="7">
        <f t="shared" si="3"/>
        <v>33333.333333333336</v>
      </c>
      <c r="I64" s="7">
        <f t="shared" si="3"/>
        <v>33333.333333333336</v>
      </c>
      <c r="J64" s="7">
        <f t="shared" si="3"/>
        <v>33333.333333333336</v>
      </c>
      <c r="K64" s="7">
        <f t="shared" si="3"/>
        <v>33333.333333333336</v>
      </c>
      <c r="L64" s="7">
        <f t="shared" si="3"/>
        <v>33333.333333333336</v>
      </c>
      <c r="M64" s="7">
        <f t="shared" si="3"/>
        <v>33333.333333333336</v>
      </c>
      <c r="N64" s="7">
        <f t="shared" si="3"/>
        <v>33333.333333333336</v>
      </c>
      <c r="O64" s="7">
        <f t="shared" si="3"/>
        <v>33333.333333333336</v>
      </c>
      <c r="P64" s="7">
        <f t="shared" si="3"/>
        <v>33333.333333333336</v>
      </c>
      <c r="Q64" s="7">
        <f t="shared" si="3"/>
        <v>33333.333333333336</v>
      </c>
      <c r="R64" s="7">
        <f>+SUM(B64:Q64)</f>
        <v>533333.33333333326</v>
      </c>
    </row>
    <row r="65" spans="1:18" x14ac:dyDescent="0.3">
      <c r="A65" s="8" t="s">
        <v>61</v>
      </c>
      <c r="R65" s="7"/>
    </row>
    <row r="66" spans="1:18" x14ac:dyDescent="0.3">
      <c r="A66" s="8" t="s">
        <v>64</v>
      </c>
      <c r="B66" s="7">
        <v>100000</v>
      </c>
      <c r="C66" s="7">
        <v>200000</v>
      </c>
      <c r="D66" s="7">
        <f t="shared" ref="D66:Q66" si="4">+C66</f>
        <v>200000</v>
      </c>
      <c r="E66" s="7">
        <f t="shared" si="4"/>
        <v>200000</v>
      </c>
      <c r="F66" s="7">
        <f t="shared" si="4"/>
        <v>200000</v>
      </c>
      <c r="G66" s="7">
        <f t="shared" si="4"/>
        <v>200000</v>
      </c>
      <c r="H66" s="7">
        <f t="shared" si="4"/>
        <v>200000</v>
      </c>
      <c r="I66" s="7">
        <f t="shared" si="4"/>
        <v>200000</v>
      </c>
      <c r="J66" s="7">
        <f t="shared" si="4"/>
        <v>200000</v>
      </c>
      <c r="K66" s="7">
        <f t="shared" si="4"/>
        <v>200000</v>
      </c>
      <c r="L66" s="7">
        <f t="shared" si="4"/>
        <v>200000</v>
      </c>
      <c r="M66" s="7">
        <f t="shared" si="4"/>
        <v>200000</v>
      </c>
      <c r="N66" s="7">
        <f t="shared" si="4"/>
        <v>200000</v>
      </c>
      <c r="O66" s="7">
        <f t="shared" si="4"/>
        <v>200000</v>
      </c>
      <c r="P66" s="7">
        <f t="shared" si="4"/>
        <v>200000</v>
      </c>
      <c r="Q66" s="7">
        <f t="shared" si="4"/>
        <v>200000</v>
      </c>
      <c r="R66" s="7">
        <f>+SUM(B66:Q66)</f>
        <v>3100000</v>
      </c>
    </row>
    <row r="67" spans="1:18" x14ac:dyDescent="0.3">
      <c r="A67" s="8" t="s">
        <v>65</v>
      </c>
      <c r="D67" s="7">
        <v>391500</v>
      </c>
      <c r="E67" s="7">
        <v>783000</v>
      </c>
      <c r="F67" s="7">
        <v>999630</v>
      </c>
      <c r="G67" s="7">
        <v>1216260</v>
      </c>
      <c r="H67" s="7">
        <v>1432890</v>
      </c>
      <c r="I67" s="7">
        <v>1432890</v>
      </c>
      <c r="J67" s="7">
        <v>1432890</v>
      </c>
      <c r="K67" s="7">
        <v>1432890</v>
      </c>
      <c r="L67" s="7">
        <v>1432890</v>
      </c>
      <c r="M67" s="7">
        <v>1432890</v>
      </c>
      <c r="N67" s="7">
        <v>1432890</v>
      </c>
      <c r="O67" s="7">
        <v>1432890</v>
      </c>
      <c r="P67" s="7">
        <v>1432890</v>
      </c>
      <c r="Q67" s="7">
        <v>1432890</v>
      </c>
      <c r="R67" s="7">
        <f>+SUM(B67:Q67)</f>
        <v>17719290</v>
      </c>
    </row>
    <row r="68" spans="1:18" x14ac:dyDescent="0.3">
      <c r="A68" s="8" t="s">
        <v>22</v>
      </c>
      <c r="B68" s="7">
        <v>24000</v>
      </c>
      <c r="C68" s="7">
        <v>48000</v>
      </c>
      <c r="D68" s="7">
        <v>498000</v>
      </c>
      <c r="E68" s="7">
        <v>948000</v>
      </c>
      <c r="F68" s="7">
        <v>1197000</v>
      </c>
      <c r="G68" s="7">
        <v>1446000</v>
      </c>
      <c r="H68" s="7">
        <v>1695000</v>
      </c>
      <c r="I68" s="7">
        <v>1695000</v>
      </c>
      <c r="J68" s="7">
        <v>1695000</v>
      </c>
      <c r="K68" s="7">
        <v>1695000</v>
      </c>
      <c r="L68" s="7">
        <v>1695000</v>
      </c>
      <c r="M68" s="7">
        <v>1695000</v>
      </c>
      <c r="N68" s="7">
        <v>1695000</v>
      </c>
      <c r="O68" s="7">
        <v>1695000</v>
      </c>
      <c r="P68" s="7">
        <v>1695000</v>
      </c>
      <c r="Q68" s="7">
        <v>1695000</v>
      </c>
      <c r="R68" s="7">
        <f>+SUM(B68:Q68)</f>
        <v>21111000</v>
      </c>
    </row>
  </sheetData>
  <mergeCells count="6">
    <mergeCell ref="E1:F1"/>
    <mergeCell ref="H1:I1"/>
    <mergeCell ref="K1:L1"/>
    <mergeCell ref="E3:F3"/>
    <mergeCell ref="H3:I3"/>
    <mergeCell ref="K3:L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223CD2EBB4A4C8C4B0BD52C92C2D9" ma:contentTypeVersion="9" ma:contentTypeDescription="Create a new document." ma:contentTypeScope="" ma:versionID="ac958dd359be0d06783d39710fdebcbb">
  <xsd:schema xmlns:xsd="http://www.w3.org/2001/XMLSchema" xmlns:xs="http://www.w3.org/2001/XMLSchema" xmlns:p="http://schemas.microsoft.com/office/2006/metadata/properties" xmlns:ns2="6b0c5530-6c3a-45a4-9a9f-1e936c2011c2" targetNamespace="http://schemas.microsoft.com/office/2006/metadata/properties" ma:root="true" ma:fieldsID="3cabe9cfcc79a3e3372aef3f04f8dbe1" ns2:_="">
    <xsd:import namespace="6b0c5530-6c3a-45a4-9a9f-1e936c201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c5530-6c3a-45a4-9a9f-1e936c201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8EA11-9743-40B6-BDC9-D917564874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b0c5530-6c3a-45a4-9a9f-1e936c2011c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8042BC-1AFB-49AB-9E6E-C9358E31E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c5530-6c3a-45a4-9a9f-1e936c201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FB98-247D-4327-877C-E9D8BB3F4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Te publiceren businesscase</vt:lpstr>
      <vt:lpstr>Hulpfile</vt:lpstr>
      <vt:lpstr>Multiplicatoren</vt:lpstr>
      <vt:lpstr>Sheet1</vt:lpstr>
      <vt:lpstr>ICT (input IO)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2020-06-04T12:16:30Z</dcterms:created>
  <dcterms:modified xsi:type="dcterms:W3CDTF">2021-02-25T09:16:23Z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0x010100BFE223CD2EBB4A4C8C4B0BD52C92C2D9</vt:lpwstr>
  </property>
</Properties>
</file>